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500" windowWidth="24500" windowHeight="15740" activeTab="0"/>
  </bookViews>
  <sheets>
    <sheet name="PlanckMean &amp; Leckner" sheetId="1" r:id="rId1"/>
  </sheets>
  <definedNames/>
  <calcPr fullCalcOnLoad="1"/>
</workbook>
</file>

<file path=xl/sharedStrings.xml><?xml version="1.0" encoding="utf-8"?>
<sst xmlns="http://schemas.openxmlformats.org/spreadsheetml/2006/main" count="191" uniqueCount="127">
  <si>
    <t>This sheets computes emissivities, absorptivities, Planck mean absorption coefficients and net emission</t>
  </si>
  <si>
    <t>(which in principle spans the whole range of optical thicknesses, but doesn't give the right behavior in the optically thin limit.)</t>
  </si>
  <si>
    <t xml:space="preserve">from H2O and CO2 radiation according to the Planck mean model (for optically thin radiation) and the Hottel/Leckner model </t>
  </si>
  <si>
    <t>apCO2</t>
  </si>
  <si>
    <t>absorptivity</t>
  </si>
  <si>
    <t xml:space="preserve">OUTPUTS - emissivities, volumetric loss, absorptivity </t>
  </si>
  <si>
    <t>abs. Coeff (m^-1)</t>
  </si>
  <si>
    <t>Emis tau = Tg/1000</t>
  </si>
  <si>
    <t>Emission model</t>
  </si>
  <si>
    <t>Absorption model</t>
  </si>
  <si>
    <t>Polynomial fits to emissivity as a function of temperature and path length</t>
  </si>
  <si>
    <t>Model for calculating Planck mean abs. Coeffs. based on integrated  band absorption data</t>
  </si>
  <si>
    <t>Contribution to Kp</t>
  </si>
  <si>
    <t>&lt;- and this row</t>
  </si>
  <si>
    <t>Data from Dunn et al, Spectrochemica Acta 38A, 841 (1982)</t>
  </si>
  <si>
    <t>INPUTS - total pressure, gas and ambient temperatures, path length, geometrical parameter, mole fractions of species</t>
  </si>
  <si>
    <t>CRADH2O</t>
  </si>
  <si>
    <t>CRADCO2</t>
  </si>
  <si>
    <t>B</t>
  </si>
  <si>
    <t>Leckner's model for total emissivity of H2O and CO2 only (Combust. Flame 19, 33 (1972))</t>
  </si>
  <si>
    <t>Partial P H2O</t>
  </si>
  <si>
    <t>Partial P CO2</t>
  </si>
  <si>
    <t>Lamda H2O</t>
  </si>
  <si>
    <t>Lamda CO2</t>
  </si>
  <si>
    <t>a0</t>
  </si>
  <si>
    <t>a1</t>
  </si>
  <si>
    <t>a2</t>
  </si>
  <si>
    <t>Pequiv H2O</t>
  </si>
  <si>
    <t>Pequiv CO2</t>
  </si>
  <si>
    <t>A</t>
  </si>
  <si>
    <t>ep/eo(max)</t>
  </si>
  <si>
    <t>eH2O (p=0)</t>
  </si>
  <si>
    <t>lamdamax</t>
  </si>
  <si>
    <t>f(pL)</t>
  </si>
  <si>
    <t>epH2O</t>
  </si>
  <si>
    <t>a3</t>
  </si>
  <si>
    <t>epCO2</t>
  </si>
  <si>
    <t>eCO2 (p=0)</t>
  </si>
  <si>
    <t>Press (atm)</t>
  </si>
  <si>
    <t>Mole fraction</t>
  </si>
  <si>
    <t>Some problem with 20 micron band - have to multiply by 0.5 to get agreement with Tien's charts.  Check later.</t>
  </si>
  <si>
    <t>Gas temp (K)</t>
  </si>
  <si>
    <t>Ambient T</t>
  </si>
  <si>
    <t>Q''' (W/m^3)</t>
  </si>
  <si>
    <t>KP (m^-1)</t>
  </si>
  <si>
    <t>&lt;- don't change anything in the spreadsheet except this row</t>
  </si>
  <si>
    <t>KW</t>
  </si>
  <si>
    <t>Written by Paul Ronney, University of Southern California, ronney@usc.edu, http://carambola.usc.edu/spreadsheets</t>
  </si>
  <si>
    <t>Last update:  11/20/03</t>
  </si>
  <si>
    <t xml:space="preserve"> nu3 vibration band</t>
  </si>
  <si>
    <t xml:space="preserve"> nu1 + nu3 combination band</t>
  </si>
  <si>
    <t xml:space="preserve"> nu1 + nu4 combination band</t>
  </si>
  <si>
    <t xml:space="preserve"> nu2 + nu3 combination band</t>
  </si>
  <si>
    <t xml:space="preserve"> nu2 + nu4 combination band</t>
  </si>
  <si>
    <t xml:space="preserve"> nu2 + nu6 combination band</t>
  </si>
  <si>
    <t xml:space="preserve"> nu3 + nu5 combination band</t>
  </si>
  <si>
    <t xml:space="preserve"> nu4 + nu5 combination band</t>
  </si>
  <si>
    <t xml:space="preserve"> nu5 + nu6 combination band</t>
  </si>
  <si>
    <t xml:space="preserve"> (nu3-nu2)&amp;(nu2-nu6) combination bands</t>
  </si>
  <si>
    <t xml:space="preserve"> 2nu2 + nu3 combination band</t>
  </si>
  <si>
    <t xml:space="preserve"> nu4 vibration band</t>
  </si>
  <si>
    <t>Net emission (W/m^2)</t>
  </si>
  <si>
    <t xml:space="preserve">  1.38 micron vibration band</t>
  </si>
  <si>
    <t xml:space="preserve">  1.87 micron vibration band</t>
  </si>
  <si>
    <t xml:space="preserve">  2.7  micron vibration band</t>
  </si>
  <si>
    <t xml:space="preserve">  6.3  micron vibration band</t>
  </si>
  <si>
    <t xml:space="preserve">  20   micron rotation  band</t>
  </si>
  <si>
    <t xml:space="preserve">  2.7 micron vibration band</t>
  </si>
  <si>
    <t xml:space="preserve">  4.3 micron vibration band</t>
  </si>
  <si>
    <t xml:space="preserve">  15  micron vibration band</t>
  </si>
  <si>
    <t xml:space="preserve">  4.7 micron vibration band</t>
  </si>
  <si>
    <t xml:space="preserve">  2.35 micron vibration band</t>
  </si>
  <si>
    <t xml:space="preserve">  2.9 micron vibration band</t>
  </si>
  <si>
    <t xml:space="preserve">  3.0 micron vibration band</t>
  </si>
  <si>
    <t xml:space="preserve">  6.15 micron vibration band</t>
  </si>
  <si>
    <t xml:space="preserve">  10.5 micron vibration band</t>
  </si>
  <si>
    <t xml:space="preserve">  3.3 micron vibration band</t>
  </si>
  <si>
    <t xml:space="preserve">  6.5 micron vibration band</t>
  </si>
  <si>
    <t xml:space="preserve">  7.6 micron vibration band</t>
  </si>
  <si>
    <t xml:space="preserve">  3.9 micron vibration band</t>
  </si>
  <si>
    <t xml:space="preserve">  4.1 micron vibration band</t>
  </si>
  <si>
    <t xml:space="preserve">  4.5 micron vibration band</t>
  </si>
  <si>
    <t xml:space="preserve">  7.8 micron vibration band</t>
  </si>
  <si>
    <t xml:space="preserve">  8.6 micron vibration band</t>
  </si>
  <si>
    <t xml:space="preserve">  17.0 micron vibration band</t>
  </si>
  <si>
    <t xml:space="preserve">  1.14 micron vibration band</t>
  </si>
  <si>
    <t>Alpha</t>
  </si>
  <si>
    <t>H2O</t>
  </si>
  <si>
    <t>Data from C. L. Tien, Advances in Heat Transfer 5, 253-324 (1968)</t>
  </si>
  <si>
    <t>CO2</t>
  </si>
  <si>
    <t>CO</t>
  </si>
  <si>
    <t>NH3</t>
  </si>
  <si>
    <t>CH4</t>
  </si>
  <si>
    <t>N2O</t>
  </si>
  <si>
    <t>k</t>
  </si>
  <si>
    <t>h</t>
  </si>
  <si>
    <t>c</t>
  </si>
  <si>
    <t>sigma</t>
  </si>
  <si>
    <t>XSF6</t>
  </si>
  <si>
    <t>XH2O</t>
  </si>
  <si>
    <t>XCO2</t>
  </si>
  <si>
    <t>XCO</t>
  </si>
  <si>
    <t>XNH3</t>
  </si>
  <si>
    <t>XCH4</t>
  </si>
  <si>
    <t>XN2O</t>
  </si>
  <si>
    <t>Alpha of band</t>
  </si>
  <si>
    <t>SF6</t>
  </si>
  <si>
    <t>Alpha is the integrated band absorption coefficient in (m^2 atm)^-1</t>
  </si>
  <si>
    <t>KW is the wave number at the center of the band in m^-1</t>
  </si>
  <si>
    <t>π*Iblamda/(sigma*T^4)</t>
  </si>
  <si>
    <t>Overlap correction</t>
  </si>
  <si>
    <t>lamda</t>
  </si>
  <si>
    <t>zeta</t>
  </si>
  <si>
    <t>delta e</t>
  </si>
  <si>
    <t xml:space="preserve">    effective emissivity for optically thin model</t>
  </si>
  <si>
    <t>eH2O</t>
  </si>
  <si>
    <t>eCO2</t>
  </si>
  <si>
    <t>delta_e</t>
  </si>
  <si>
    <t>e_total</t>
  </si>
  <si>
    <t xml:space="preserve">OUTPUTS - Planck mean abs. Coeff., vol. heat loss, </t>
  </si>
  <si>
    <t>Band absorption data for calculating Planck mean absorption coefficient</t>
  </si>
  <si>
    <t>Physical constants</t>
  </si>
  <si>
    <t xml:space="preserve">    from Leckner model  (for CO2 and H2O only)</t>
  </si>
  <si>
    <t>Effective Path length (m)</t>
  </si>
  <si>
    <t>Abs. tau = Ts/1000</t>
  </si>
  <si>
    <t>Abs. Path length = L*Ts/Tg</t>
  </si>
  <si>
    <t>apH2O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</si>
</sst>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hair"/>
      <top style="hair"/>
      <bottom style="double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vertical="top" wrapText="1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" fontId="1" fillId="2" borderId="4" xfId="0" applyNumberFormat="1" applyFont="1" applyFill="1" applyBorder="1" applyAlignment="1">
      <alignment/>
    </xf>
    <xf numFmtId="2" fontId="1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vertical="top" wrapText="1"/>
    </xf>
    <xf numFmtId="0" fontId="0" fillId="0" borderId="4" xfId="0" applyFont="1" applyBorder="1" applyAlignment="1">
      <alignment/>
    </xf>
    <xf numFmtId="2" fontId="0" fillId="0" borderId="2" xfId="0" applyNumberFormat="1" applyFont="1" applyBorder="1" applyAlignment="1">
      <alignment vertical="top" wrapText="1"/>
    </xf>
    <xf numFmtId="0" fontId="1" fillId="0" borderId="5" xfId="0" applyFont="1" applyBorder="1" applyAlignment="1">
      <alignment/>
    </xf>
    <xf numFmtId="0" fontId="1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2" fontId="0" fillId="3" borderId="7" xfId="0" applyNumberFormat="1" applyFont="1" applyFill="1" applyBorder="1" applyAlignment="1">
      <alignment vertical="top" wrapText="1"/>
    </xf>
    <xf numFmtId="2" fontId="0" fillId="3" borderId="8" xfId="0" applyNumberFormat="1" applyFont="1" applyFill="1" applyBorder="1" applyAlignment="1">
      <alignment vertical="top" wrapText="1"/>
    </xf>
    <xf numFmtId="0" fontId="1" fillId="3" borderId="9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11" fontId="0" fillId="4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0" fillId="2" borderId="12" xfId="0" applyFont="1" applyFill="1" applyBorder="1" applyAlignment="1">
      <alignment/>
    </xf>
    <xf numFmtId="11" fontId="0" fillId="2" borderId="12" xfId="0" applyNumberFormat="1" applyFont="1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2" fontId="0" fillId="2" borderId="13" xfId="0" applyNumberFormat="1" applyFont="1" applyFill="1" applyBorder="1" applyAlignment="1">
      <alignment/>
    </xf>
    <xf numFmtId="2" fontId="0" fillId="2" borderId="13" xfId="0" applyNumberFormat="1" applyFont="1" applyFill="1" applyBorder="1" applyAlignment="1">
      <alignment vertical="top" wrapText="1"/>
    </xf>
    <xf numFmtId="2" fontId="1" fillId="5" borderId="13" xfId="0" applyNumberFormat="1" applyFont="1" applyFill="1" applyBorder="1" applyAlignment="1">
      <alignment/>
    </xf>
    <xf numFmtId="2" fontId="0" fillId="5" borderId="13" xfId="0" applyNumberFormat="1" applyFont="1" applyFill="1" applyBorder="1" applyAlignment="1">
      <alignment/>
    </xf>
    <xf numFmtId="2" fontId="0" fillId="5" borderId="13" xfId="0" applyNumberFormat="1" applyFont="1" applyFill="1" applyBorder="1" applyAlignment="1">
      <alignment vertical="top" wrapText="1"/>
    </xf>
    <xf numFmtId="0" fontId="1" fillId="5" borderId="13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2" fontId="1" fillId="5" borderId="13" xfId="0" applyNumberFormat="1" applyFont="1" applyFill="1" applyBorder="1" applyAlignment="1">
      <alignment vertical="top" wrapText="1"/>
    </xf>
    <xf numFmtId="2" fontId="1" fillId="6" borderId="13" xfId="0" applyNumberFormat="1" applyFont="1" applyFill="1" applyBorder="1" applyAlignment="1">
      <alignment/>
    </xf>
    <xf numFmtId="2" fontId="0" fillId="6" borderId="13" xfId="0" applyNumberFormat="1" applyFont="1" applyFill="1" applyBorder="1" applyAlignment="1">
      <alignment/>
    </xf>
    <xf numFmtId="2" fontId="0" fillId="6" borderId="13" xfId="0" applyNumberFormat="1" applyFont="1" applyFill="1" applyBorder="1" applyAlignment="1">
      <alignment vertical="top" wrapText="1"/>
    </xf>
    <xf numFmtId="0" fontId="1" fillId="6" borderId="13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2" fontId="1" fillId="6" borderId="13" xfId="0" applyNumberFormat="1" applyFont="1" applyFill="1" applyBorder="1" applyAlignment="1">
      <alignment vertical="top" wrapText="1"/>
    </xf>
    <xf numFmtId="0" fontId="0" fillId="6" borderId="14" xfId="0" applyFont="1" applyFill="1" applyBorder="1" applyAlignment="1">
      <alignment/>
    </xf>
    <xf numFmtId="2" fontId="0" fillId="6" borderId="14" xfId="0" applyNumberFormat="1" applyFont="1" applyFill="1" applyBorder="1" applyAlignment="1">
      <alignment vertical="top" wrapText="1"/>
    </xf>
    <xf numFmtId="0" fontId="0" fillId="2" borderId="15" xfId="0" applyFont="1" applyFill="1" applyBorder="1" applyAlignment="1">
      <alignment/>
    </xf>
    <xf numFmtId="2" fontId="0" fillId="2" borderId="15" xfId="0" applyNumberFormat="1" applyFont="1" applyFill="1" applyBorder="1" applyAlignment="1">
      <alignment vertical="top" wrapText="1"/>
    </xf>
    <xf numFmtId="2" fontId="0" fillId="5" borderId="15" xfId="0" applyNumberFormat="1" applyFont="1" applyFill="1" applyBorder="1" applyAlignment="1">
      <alignment vertical="top" wrapText="1"/>
    </xf>
    <xf numFmtId="2" fontId="0" fillId="5" borderId="15" xfId="0" applyNumberFormat="1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2" fontId="1" fillId="5" borderId="15" xfId="0" applyNumberFormat="1" applyFont="1" applyFill="1" applyBorder="1" applyAlignment="1">
      <alignment/>
    </xf>
    <xf numFmtId="164" fontId="0" fillId="5" borderId="15" xfId="0" applyNumberFormat="1" applyFont="1" applyFill="1" applyBorder="1" applyAlignment="1">
      <alignment/>
    </xf>
    <xf numFmtId="2" fontId="0" fillId="6" borderId="15" xfId="0" applyNumberFormat="1" applyFont="1" applyFill="1" applyBorder="1" applyAlignment="1">
      <alignment vertical="top" wrapText="1"/>
    </xf>
    <xf numFmtId="2" fontId="0" fillId="6" borderId="15" xfId="0" applyNumberFormat="1" applyFont="1" applyFill="1" applyBorder="1" applyAlignment="1">
      <alignment/>
    </xf>
    <xf numFmtId="0" fontId="1" fillId="6" borderId="15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2" fontId="1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2" fontId="0" fillId="6" borderId="16" xfId="0" applyNumberFormat="1" applyFont="1" applyFill="1" applyBorder="1" applyAlignment="1">
      <alignment vertical="top" wrapText="1"/>
    </xf>
    <xf numFmtId="0" fontId="1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11" fontId="0" fillId="4" borderId="15" xfId="0" applyNumberFormat="1" applyFont="1" applyFill="1" applyBorder="1" applyAlignment="1">
      <alignment/>
    </xf>
    <xf numFmtId="0" fontId="1" fillId="4" borderId="17" xfId="0" applyFont="1" applyFill="1" applyBorder="1" applyAlignment="1">
      <alignment/>
    </xf>
    <xf numFmtId="11" fontId="0" fillId="4" borderId="17" xfId="0" applyNumberFormat="1" applyFont="1" applyFill="1" applyBorder="1" applyAlignment="1">
      <alignment/>
    </xf>
    <xf numFmtId="11" fontId="0" fillId="4" borderId="18" xfId="0" applyNumberFormat="1" applyFont="1" applyFill="1" applyBorder="1" applyAlignment="1">
      <alignment/>
    </xf>
    <xf numFmtId="11" fontId="0" fillId="4" borderId="19" xfId="0" applyNumberFormat="1" applyFont="1" applyFill="1" applyBorder="1" applyAlignment="1">
      <alignment/>
    </xf>
    <xf numFmtId="0" fontId="0" fillId="4" borderId="14" xfId="0" applyFont="1" applyFill="1" applyBorder="1" applyAlignment="1">
      <alignment/>
    </xf>
    <xf numFmtId="11" fontId="0" fillId="4" borderId="16" xfId="0" applyNumberFormat="1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ont="1" applyFill="1" applyBorder="1" applyAlignment="1">
      <alignment/>
    </xf>
    <xf numFmtId="2" fontId="0" fillId="4" borderId="6" xfId="0" applyNumberFormat="1" applyFont="1" applyFill="1" applyBorder="1" applyAlignment="1">
      <alignment vertical="top" wrapText="1"/>
    </xf>
    <xf numFmtId="0" fontId="0" fillId="4" borderId="7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26" xfId="0" applyFont="1" applyBorder="1" applyAlignment="1">
      <alignment/>
    </xf>
    <xf numFmtId="0" fontId="0" fillId="2" borderId="2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11" fontId="0" fillId="7" borderId="28" xfId="0" applyNumberFormat="1" applyFont="1" applyFill="1" applyBorder="1" applyAlignment="1">
      <alignment/>
    </xf>
    <xf numFmtId="0" fontId="0" fillId="7" borderId="29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8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1" fontId="0" fillId="8" borderId="32" xfId="0" applyNumberFormat="1" applyFont="1" applyFill="1" applyBorder="1" applyAlignment="1">
      <alignment/>
    </xf>
    <xf numFmtId="11" fontId="0" fillId="8" borderId="14" xfId="0" applyNumberFormat="1" applyFont="1" applyFill="1" applyBorder="1" applyAlignment="1">
      <alignment/>
    </xf>
    <xf numFmtId="11" fontId="0" fillId="8" borderId="16" xfId="0" applyNumberFormat="1" applyFont="1" applyFill="1" applyBorder="1" applyAlignment="1">
      <alignment/>
    </xf>
    <xf numFmtId="0" fontId="1" fillId="8" borderId="33" xfId="0" applyFont="1" applyFill="1" applyBorder="1" applyAlignment="1">
      <alignment/>
    </xf>
    <xf numFmtId="0" fontId="1" fillId="8" borderId="13" xfId="0" applyFont="1" applyFill="1" applyBorder="1" applyAlignment="1">
      <alignment/>
    </xf>
    <xf numFmtId="0" fontId="1" fillId="8" borderId="15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1" fontId="0" fillId="7" borderId="36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7" xfId="0" applyFont="1" applyBorder="1" applyAlignment="1">
      <alignment/>
    </xf>
    <xf numFmtId="0" fontId="0" fillId="7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1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 topLeftCell="A1">
      <selection activeCell="A3" sqref="A3"/>
    </sheetView>
  </sheetViews>
  <sheetFormatPr defaultColWidth="11.00390625" defaultRowHeight="12.75"/>
  <cols>
    <col min="1" max="1" width="10.75390625" style="2" customWidth="1"/>
    <col min="2" max="2" width="11.75390625" style="2" customWidth="1"/>
    <col min="3" max="3" width="10.75390625" style="2" customWidth="1"/>
    <col min="4" max="4" width="12.875" style="2" customWidth="1"/>
    <col min="5" max="5" width="12.00390625" style="2" bestFit="1" customWidth="1"/>
    <col min="6" max="9" width="10.75390625" style="2" customWidth="1"/>
    <col min="10" max="10" width="12.00390625" style="2" bestFit="1" customWidth="1"/>
    <col min="11" max="11" width="16.00390625" style="2" customWidth="1"/>
    <col min="12" max="12" width="13.125" style="2" customWidth="1"/>
    <col min="13" max="16384" width="10.75390625" style="2" customWidth="1"/>
  </cols>
  <sheetData>
    <row r="1" spans="1:9" ht="12.75">
      <c r="A1" s="1" t="s">
        <v>0</v>
      </c>
      <c r="F1" s="1"/>
      <c r="G1" s="126"/>
      <c r="I1" s="1"/>
    </row>
    <row r="2" spans="1:9" ht="12.75">
      <c r="A2" s="1" t="s">
        <v>2</v>
      </c>
      <c r="F2" s="1"/>
      <c r="G2" s="126"/>
      <c r="I2" s="1"/>
    </row>
    <row r="3" spans="1:9" ht="12.75">
      <c r="A3" s="1" t="s">
        <v>1</v>
      </c>
      <c r="F3" s="1"/>
      <c r="H3" s="126"/>
      <c r="I3" s="1"/>
    </row>
    <row r="4" spans="1:9" ht="12.75">
      <c r="A4" s="1"/>
      <c r="F4" s="1"/>
      <c r="H4" s="126"/>
      <c r="I4" s="1"/>
    </row>
    <row r="5" spans="1:9" ht="12.75">
      <c r="A5" s="1" t="s">
        <v>47</v>
      </c>
      <c r="F5" s="1"/>
      <c r="H5" s="126"/>
      <c r="I5" s="1"/>
    </row>
    <row r="6" spans="1:9" ht="12.75">
      <c r="A6" s="1" t="s">
        <v>48</v>
      </c>
      <c r="F6" s="1"/>
      <c r="H6" s="126"/>
      <c r="I6" s="1"/>
    </row>
    <row r="7" spans="1:9" ht="13.5" thickBot="1">
      <c r="A7" s="1"/>
      <c r="F7" s="1"/>
      <c r="H7" s="126"/>
      <c r="I7" s="1"/>
    </row>
    <row r="8" spans="1:11" ht="13.5" thickTop="1">
      <c r="A8" s="11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ht="27" customHeight="1">
      <c r="A9" s="98" t="s">
        <v>38</v>
      </c>
      <c r="B9" s="39" t="s">
        <v>41</v>
      </c>
      <c r="C9" s="39" t="s">
        <v>42</v>
      </c>
      <c r="D9" s="41" t="s">
        <v>123</v>
      </c>
      <c r="E9" s="7"/>
      <c r="F9" s="6"/>
      <c r="G9" s="6"/>
      <c r="H9" s="6"/>
      <c r="I9" s="6"/>
      <c r="J9" s="6"/>
      <c r="K9" s="15"/>
    </row>
    <row r="10" spans="1:12" ht="12.75">
      <c r="A10" s="99">
        <v>1</v>
      </c>
      <c r="B10" s="42">
        <v>1500</v>
      </c>
      <c r="C10" s="42">
        <v>300</v>
      </c>
      <c r="D10" s="43">
        <v>0.05</v>
      </c>
      <c r="E10" s="100" t="s">
        <v>45</v>
      </c>
      <c r="F10" s="9"/>
      <c r="G10" s="9"/>
      <c r="H10" s="5"/>
      <c r="I10" s="100"/>
      <c r="J10" s="8"/>
      <c r="K10" s="111"/>
      <c r="L10" s="97"/>
    </row>
    <row r="11" spans="1:14" ht="12.75">
      <c r="A11" s="98" t="s">
        <v>99</v>
      </c>
      <c r="B11" s="39" t="s">
        <v>100</v>
      </c>
      <c r="C11" s="39" t="s">
        <v>101</v>
      </c>
      <c r="D11" s="39" t="s">
        <v>102</v>
      </c>
      <c r="E11" s="39" t="s">
        <v>103</v>
      </c>
      <c r="F11" s="39" t="s">
        <v>104</v>
      </c>
      <c r="G11" s="39" t="s">
        <v>98</v>
      </c>
      <c r="H11" s="6"/>
      <c r="I11" s="6"/>
      <c r="J11" s="6"/>
      <c r="K11" s="23"/>
      <c r="L11" s="97"/>
      <c r="M11" s="1"/>
      <c r="N11" s="1"/>
    </row>
    <row r="12" spans="1:14" ht="13.5" thickBot="1">
      <c r="A12" s="101">
        <v>0.1</v>
      </c>
      <c r="B12" s="102">
        <v>0.05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3" t="s">
        <v>13</v>
      </c>
      <c r="I12" s="103"/>
      <c r="J12" s="103"/>
      <c r="K12" s="104"/>
      <c r="L12" s="97"/>
      <c r="M12" s="1"/>
      <c r="N12" s="1"/>
    </row>
    <row r="13" spans="11:14" ht="15" thickBot="1" thickTop="1">
      <c r="K13" s="1"/>
      <c r="M13" s="1"/>
      <c r="N13" s="1"/>
    </row>
    <row r="14" spans="1:12" ht="13.5" thickTop="1">
      <c r="A14" s="11" t="s">
        <v>119</v>
      </c>
      <c r="B14" s="12"/>
      <c r="C14" s="12"/>
      <c r="D14" s="13"/>
      <c r="E14" s="121" t="s">
        <v>5</v>
      </c>
      <c r="F14" s="12"/>
      <c r="G14" s="12"/>
      <c r="H14" s="12"/>
      <c r="I14" s="12"/>
      <c r="J14" s="12"/>
      <c r="K14" s="12"/>
      <c r="L14" s="13"/>
    </row>
    <row r="15" spans="1:12" ht="12.75">
      <c r="A15" s="14" t="s">
        <v>114</v>
      </c>
      <c r="B15" s="6"/>
      <c r="C15" s="6"/>
      <c r="D15" s="15"/>
      <c r="E15" s="7" t="s">
        <v>122</v>
      </c>
      <c r="F15" s="6"/>
      <c r="G15" s="6"/>
      <c r="H15" s="6"/>
      <c r="I15" s="6"/>
      <c r="J15" s="118"/>
      <c r="K15" s="118"/>
      <c r="L15" s="119"/>
    </row>
    <row r="16" spans="1:12" ht="12.75">
      <c r="A16" s="98" t="s">
        <v>44</v>
      </c>
      <c r="B16" s="39" t="s">
        <v>43</v>
      </c>
      <c r="C16" s="39" t="s">
        <v>118</v>
      </c>
      <c r="D16" s="125"/>
      <c r="E16" s="122" t="s">
        <v>115</v>
      </c>
      <c r="F16" s="39" t="s">
        <v>116</v>
      </c>
      <c r="G16" s="39" t="s">
        <v>117</v>
      </c>
      <c r="H16" s="39" t="s">
        <v>118</v>
      </c>
      <c r="I16" s="40" t="s">
        <v>4</v>
      </c>
      <c r="J16" s="40" t="s">
        <v>6</v>
      </c>
      <c r="K16" s="40" t="s">
        <v>61</v>
      </c>
      <c r="L16" s="105" t="s">
        <v>43</v>
      </c>
    </row>
    <row r="17" spans="1:12" ht="13.5" thickBot="1">
      <c r="A17" s="106">
        <f>SUM(J75:J129)</f>
        <v>0.8291385600751048</v>
      </c>
      <c r="B17" s="107">
        <f>4*D21*A17*(B10^4-C10^4)</f>
        <v>950422.6827730341</v>
      </c>
      <c r="C17" s="107">
        <f>B17*D10/(4*D21*(B10^4-C10^4))</f>
        <v>0.041456928003755236</v>
      </c>
      <c r="D17" s="124"/>
      <c r="E17" s="123">
        <f>F38</f>
        <v>0.010840416168832617</v>
      </c>
      <c r="F17" s="107">
        <f>F43</f>
        <v>0.01886237220500857</v>
      </c>
      <c r="G17" s="107">
        <f>C47</f>
        <v>0</v>
      </c>
      <c r="H17" s="107">
        <f>E17+F17-G17</f>
        <v>0.029702788373841188</v>
      </c>
      <c r="I17" s="107">
        <f>G55+G60-C64</f>
        <v>0.06154549638747364</v>
      </c>
      <c r="J17" s="107">
        <f>-LN(1-I17)/D10</f>
        <v>1.270418038020176</v>
      </c>
      <c r="K17" s="107">
        <f>D21*(H17*B10^4-I17*C10^4)</f>
        <v>8497.284144615036</v>
      </c>
      <c r="L17" s="120">
        <f>K17*4/D10</f>
        <v>679782.7315692028</v>
      </c>
    </row>
    <row r="18" ht="15" thickBot="1" thickTop="1"/>
    <row r="19" spans="1:4" ht="13.5" thickTop="1">
      <c r="A19" s="108" t="s">
        <v>121</v>
      </c>
      <c r="B19" s="109"/>
      <c r="C19" s="109"/>
      <c r="D19" s="110"/>
    </row>
    <row r="20" spans="1:4" ht="12.75">
      <c r="A20" s="115" t="s">
        <v>94</v>
      </c>
      <c r="B20" s="116" t="s">
        <v>95</v>
      </c>
      <c r="C20" s="116" t="s">
        <v>96</v>
      </c>
      <c r="D20" s="117" t="s">
        <v>97</v>
      </c>
    </row>
    <row r="21" spans="1:4" ht="13.5" thickBot="1">
      <c r="A21" s="112">
        <v>1.38054E-23</v>
      </c>
      <c r="B21" s="113">
        <v>6.6256E-34</v>
      </c>
      <c r="C21" s="113">
        <v>299790000</v>
      </c>
      <c r="D21" s="114">
        <v>5.6697E-08</v>
      </c>
    </row>
    <row r="22" ht="15" thickBot="1" thickTop="1"/>
    <row r="23" spans="1:8" ht="13.5" thickTop="1">
      <c r="A23" s="11" t="s">
        <v>19</v>
      </c>
      <c r="B23" s="12"/>
      <c r="C23" s="12"/>
      <c r="D23" s="12"/>
      <c r="E23" s="12"/>
      <c r="F23" s="12"/>
      <c r="G23" s="12"/>
      <c r="H23" s="13"/>
    </row>
    <row r="24" spans="1:8" ht="12.75">
      <c r="A24" s="14"/>
      <c r="B24" s="6"/>
      <c r="C24" s="6"/>
      <c r="D24" s="6"/>
      <c r="E24" s="6"/>
      <c r="F24" s="6"/>
      <c r="G24" s="6"/>
      <c r="H24" s="15"/>
    </row>
    <row r="25" spans="1:8" ht="12.75">
      <c r="A25" s="16" t="s">
        <v>10</v>
      </c>
      <c r="B25" s="9"/>
      <c r="C25" s="9"/>
      <c r="D25" s="9"/>
      <c r="E25" s="9"/>
      <c r="F25" s="9"/>
      <c r="G25" s="9"/>
      <c r="H25" s="17"/>
    </row>
    <row r="26" spans="1:8" ht="12.75">
      <c r="A26" s="44" t="s">
        <v>16</v>
      </c>
      <c r="B26" s="45"/>
      <c r="C26" s="45"/>
      <c r="D26" s="44" t="s">
        <v>17</v>
      </c>
      <c r="E26" s="45"/>
      <c r="F26" s="45"/>
      <c r="G26" s="45"/>
      <c r="H26" s="61"/>
    </row>
    <row r="27" spans="1:8" ht="12.75">
      <c r="A27" s="46">
        <v>-2.2118</v>
      </c>
      <c r="B27" s="46">
        <v>-1.1987</v>
      </c>
      <c r="C27" s="46">
        <v>0.035596</v>
      </c>
      <c r="D27" s="46">
        <v>-3.9781</v>
      </c>
      <c r="E27" s="46">
        <v>2.7353</v>
      </c>
      <c r="F27" s="46">
        <v>-1.9882</v>
      </c>
      <c r="G27" s="46">
        <v>0.31054</v>
      </c>
      <c r="H27" s="62">
        <v>0.015719</v>
      </c>
    </row>
    <row r="28" spans="1:8" ht="12.75">
      <c r="A28" s="46">
        <v>0.85667</v>
      </c>
      <c r="B28" s="46">
        <v>0.93048</v>
      </c>
      <c r="C28" s="46">
        <v>-0.14391</v>
      </c>
      <c r="D28" s="46">
        <v>1.9326</v>
      </c>
      <c r="E28" s="46">
        <v>-3.5932</v>
      </c>
      <c r="F28" s="46">
        <v>3.7247</v>
      </c>
      <c r="G28" s="46">
        <v>-1.4535</v>
      </c>
      <c r="H28" s="62">
        <v>0.20132</v>
      </c>
    </row>
    <row r="29" spans="1:8" ht="12.75">
      <c r="A29" s="46">
        <v>-0.10838</v>
      </c>
      <c r="B29" s="46">
        <v>-0.17156</v>
      </c>
      <c r="C29" s="46">
        <v>0.045915</v>
      </c>
      <c r="D29" s="46">
        <v>-0.35366</v>
      </c>
      <c r="E29" s="46">
        <v>0.61766</v>
      </c>
      <c r="F29" s="46">
        <v>-0.84207</v>
      </c>
      <c r="G29" s="46">
        <v>0.39859</v>
      </c>
      <c r="H29" s="62">
        <v>-0.063356</v>
      </c>
    </row>
    <row r="30" spans="1:8" ht="12.75">
      <c r="A30" s="18"/>
      <c r="B30" s="10"/>
      <c r="C30" s="10"/>
      <c r="D30" s="46">
        <v>-0.080181</v>
      </c>
      <c r="E30" s="46">
        <v>0.31466</v>
      </c>
      <c r="F30" s="46">
        <v>-0.19973</v>
      </c>
      <c r="G30" s="46">
        <v>0.046532</v>
      </c>
      <c r="H30" s="62">
        <v>-0.0033086</v>
      </c>
    </row>
    <row r="31" spans="1:8" ht="12.75">
      <c r="A31" s="19"/>
      <c r="B31" s="3"/>
      <c r="C31" s="3"/>
      <c r="D31" s="3"/>
      <c r="E31" s="4"/>
      <c r="F31" s="4"/>
      <c r="G31" s="4"/>
      <c r="H31" s="20"/>
    </row>
    <row r="32" spans="1:8" ht="12.75">
      <c r="A32" s="47" t="s">
        <v>8</v>
      </c>
      <c r="B32" s="48"/>
      <c r="C32" s="48"/>
      <c r="D32" s="48"/>
      <c r="E32" s="49"/>
      <c r="F32" s="49"/>
      <c r="G32" s="49"/>
      <c r="H32" s="63"/>
    </row>
    <row r="33" spans="1:8" ht="12.75">
      <c r="A33" s="50" t="s">
        <v>7</v>
      </c>
      <c r="B33" s="47"/>
      <c r="C33" s="51"/>
      <c r="D33" s="51"/>
      <c r="E33" s="49"/>
      <c r="F33" s="49"/>
      <c r="G33" s="49"/>
      <c r="H33" s="63"/>
    </row>
    <row r="34" spans="1:8" ht="12.75">
      <c r="A34" s="51">
        <f>$B$10/1000</f>
        <v>1.5</v>
      </c>
      <c r="B34" s="48"/>
      <c r="C34" s="51"/>
      <c r="D34" s="51"/>
      <c r="E34" s="51"/>
      <c r="F34" s="48"/>
      <c r="G34" s="48"/>
      <c r="H34" s="64"/>
    </row>
    <row r="35" spans="1:8" s="1" customFormat="1" ht="12.75">
      <c r="A35" s="47" t="s">
        <v>20</v>
      </c>
      <c r="B35" s="50" t="s">
        <v>27</v>
      </c>
      <c r="C35" s="47" t="s">
        <v>22</v>
      </c>
      <c r="D35" s="47" t="s">
        <v>24</v>
      </c>
      <c r="E35" s="47" t="s">
        <v>25</v>
      </c>
      <c r="F35" s="47" t="s">
        <v>26</v>
      </c>
      <c r="G35" s="47" t="s">
        <v>31</v>
      </c>
      <c r="H35" s="65"/>
    </row>
    <row r="36" spans="1:8" ht="12.75">
      <c r="A36" s="48">
        <f>$A$10*$A$12</f>
        <v>0.1</v>
      </c>
      <c r="B36" s="51">
        <f>$A$10*(1+4.9*SQRT(273/$B$10)*A36/$A$10)</f>
        <v>1.2090411442754752</v>
      </c>
      <c r="C36" s="48">
        <f>LOG(A36*$D$10*100)</f>
        <v>-0.3010299956639811</v>
      </c>
      <c r="D36" s="48">
        <f>(A27+B27*$A$34+C27*$A$34^2)</f>
        <v>-3.9297590000000002</v>
      </c>
      <c r="E36" s="48">
        <f>(A28+B28*$A$34+C28*$A$34^2)</f>
        <v>1.9285925000000002</v>
      </c>
      <c r="F36" s="48">
        <f>(A29+B29*$A$34+C29*$A$34^2)</f>
        <v>-0.26241125000000004</v>
      </c>
      <c r="G36" s="48">
        <f>EXP(D36+E36*C36+F36*C36^2)</f>
        <v>0.010736537312461603</v>
      </c>
      <c r="H36" s="66"/>
    </row>
    <row r="37" spans="1:8" ht="12.75">
      <c r="A37" s="47" t="s">
        <v>29</v>
      </c>
      <c r="B37" s="47" t="s">
        <v>18</v>
      </c>
      <c r="C37" s="47" t="s">
        <v>30</v>
      </c>
      <c r="D37" s="47" t="s">
        <v>32</v>
      </c>
      <c r="E37" s="47" t="s">
        <v>33</v>
      </c>
      <c r="F37" s="47" t="s">
        <v>34</v>
      </c>
      <c r="G37" s="51"/>
      <c r="H37" s="66"/>
    </row>
    <row r="38" spans="1:8" ht="12.75">
      <c r="A38" s="48">
        <f>1.888-2.053*LOG(MAX(0.75,A34))</f>
        <v>1.5264846451586864</v>
      </c>
      <c r="B38" s="48">
        <f>1.1*A34^-1.4</f>
        <v>0.623540866972609</v>
      </c>
      <c r="C38" s="48">
        <f>(A38*B36+B38)/(B36+A38+B38-1)</f>
        <v>1.046652752421618</v>
      </c>
      <c r="D38" s="48">
        <f>LOG(13.2*A34^2)</f>
        <v>1.4727564493172123</v>
      </c>
      <c r="E38" s="48">
        <f>EXP(-0.5*(D38-C36)^2)</f>
        <v>0.20738896806255888</v>
      </c>
      <c r="F38" s="51">
        <f>G36*(1+E38*(C38-1))</f>
        <v>0.010840416168832617</v>
      </c>
      <c r="G38" s="51"/>
      <c r="H38" s="66"/>
    </row>
    <row r="39" spans="1:8" ht="12.75">
      <c r="A39" s="49"/>
      <c r="B39" s="49"/>
      <c r="C39" s="49"/>
      <c r="D39" s="51"/>
      <c r="E39" s="51"/>
      <c r="F39" s="51"/>
      <c r="G39" s="51"/>
      <c r="H39" s="66"/>
    </row>
    <row r="40" spans="1:8" ht="12.75">
      <c r="A40" s="47" t="s">
        <v>21</v>
      </c>
      <c r="B40" s="50" t="s">
        <v>28</v>
      </c>
      <c r="C40" s="52" t="s">
        <v>23</v>
      </c>
      <c r="D40" s="50" t="s">
        <v>24</v>
      </c>
      <c r="E40" s="50" t="s">
        <v>25</v>
      </c>
      <c r="F40" s="50" t="s">
        <v>26</v>
      </c>
      <c r="G40" s="50" t="s">
        <v>35</v>
      </c>
      <c r="H40" s="67" t="s">
        <v>37</v>
      </c>
    </row>
    <row r="41" spans="1:8" ht="12.75">
      <c r="A41" s="48">
        <f>$A$10*$B$12</f>
        <v>0.05</v>
      </c>
      <c r="B41" s="51">
        <f>$A$10*(1+0.28*A41/$A$10)</f>
        <v>1.014</v>
      </c>
      <c r="C41" s="49">
        <f>LOG(A41*$D$10*100)</f>
        <v>-0.6020599913279623</v>
      </c>
      <c r="D41" s="51">
        <f>D27+E27*$A$34+F27*$A$34^2+G27*$A$34^3+H27*$A$34^4</f>
        <v>-3.2209500624999996</v>
      </c>
      <c r="E41" s="51">
        <f>D28+E28*$A$34+F28*$A$34^2+G28*$A$34^3+H28*$A$34^4</f>
        <v>1.036995</v>
      </c>
      <c r="F41" s="51">
        <f>D29+E29*$A$34+F29*$A$34^2+G29*$A$34^3+H29*$A$34^4</f>
        <v>-0.297326</v>
      </c>
      <c r="G41" s="51">
        <f>D30+E30*$A$34+F30*$A$34^2+G30*$A$34^3+H30*$A$34^4</f>
        <v>0.08271221250000002</v>
      </c>
      <c r="H41" s="68">
        <f>EXP(D41+E41*C41+F41*C41^2+G41*C41^3)</f>
        <v>0.018852545027580395</v>
      </c>
    </row>
    <row r="42" spans="1:8" ht="12.75">
      <c r="A42" s="47" t="s">
        <v>29</v>
      </c>
      <c r="B42" s="47" t="s">
        <v>18</v>
      </c>
      <c r="C42" s="47" t="s">
        <v>30</v>
      </c>
      <c r="D42" s="47" t="s">
        <v>32</v>
      </c>
      <c r="E42" s="47" t="s">
        <v>33</v>
      </c>
      <c r="F42" s="47" t="s">
        <v>36</v>
      </c>
      <c r="G42" s="51"/>
      <c r="H42" s="66"/>
    </row>
    <row r="43" spans="1:8" ht="12.75">
      <c r="A43" s="48">
        <f>0.1*A34^-1.45+1</f>
        <v>1.055547903757292</v>
      </c>
      <c r="B43" s="48">
        <v>0.23</v>
      </c>
      <c r="C43" s="48">
        <f>(A43*B41+B43)/(B41+A43+B43-1)</f>
        <v>1.0005984163033572</v>
      </c>
      <c r="D43" s="48">
        <f>($B$10&lt;=700)*LOG(0.054/A34^2)+($B$10&gt;700)*LOG(0.225*A34^2)</f>
        <v>-0.29563496377727505</v>
      </c>
      <c r="E43" s="48">
        <f>EXP(-1.47*(D43-C41)^2)</f>
        <v>0.8710746869147117</v>
      </c>
      <c r="F43" s="51">
        <f>H41*(1+E43*(C43-1))</f>
        <v>0.01886237220500857</v>
      </c>
      <c r="G43" s="51"/>
      <c r="H43" s="66"/>
    </row>
    <row r="44" spans="1:8" ht="12.75">
      <c r="A44" s="51"/>
      <c r="B44" s="51"/>
      <c r="C44" s="51"/>
      <c r="D44" s="51"/>
      <c r="E44" s="49"/>
      <c r="F44" s="49"/>
      <c r="G44" s="49"/>
      <c r="H44" s="63"/>
    </row>
    <row r="45" spans="1:8" ht="12.75">
      <c r="A45" s="50" t="s">
        <v>110</v>
      </c>
      <c r="B45" s="51"/>
      <c r="C45" s="51"/>
      <c r="D45" s="51"/>
      <c r="E45" s="49"/>
      <c r="F45" s="49"/>
      <c r="G45" s="49"/>
      <c r="H45" s="63"/>
    </row>
    <row r="46" spans="1:8" ht="12.75">
      <c r="A46" s="50" t="s">
        <v>111</v>
      </c>
      <c r="B46" s="50" t="s">
        <v>112</v>
      </c>
      <c r="C46" s="50" t="s">
        <v>113</v>
      </c>
      <c r="D46" s="50"/>
      <c r="E46" s="49"/>
      <c r="F46" s="49"/>
      <c r="G46" s="49"/>
      <c r="H46" s="63"/>
    </row>
    <row r="47" spans="1:8" ht="12.75">
      <c r="A47" s="51">
        <f>MAX(LOG((A36+A41)*$D$10*100),0)</f>
        <v>0</v>
      </c>
      <c r="B47" s="51">
        <f>A36/(A36+A41)</f>
        <v>0.6666666666666666</v>
      </c>
      <c r="C47" s="51">
        <f>(B47/(10.7+101*B47)-0.0089*B47^10.4)*A47^2.76</f>
        <v>0</v>
      </c>
      <c r="D47" s="51"/>
      <c r="E47" s="49"/>
      <c r="F47" s="49"/>
      <c r="G47" s="49"/>
      <c r="H47" s="63"/>
    </row>
    <row r="48" spans="1:8" ht="12.75">
      <c r="A48" s="21"/>
      <c r="B48" s="6"/>
      <c r="C48" s="6"/>
      <c r="D48" s="6"/>
      <c r="E48" s="4"/>
      <c r="F48" s="4"/>
      <c r="G48" s="4"/>
      <c r="H48" s="20"/>
    </row>
    <row r="49" spans="1:8" ht="12.75">
      <c r="A49" s="53" t="s">
        <v>9</v>
      </c>
      <c r="B49" s="54"/>
      <c r="C49" s="54"/>
      <c r="D49" s="54"/>
      <c r="E49" s="55"/>
      <c r="F49" s="55"/>
      <c r="G49" s="55"/>
      <c r="H49" s="69"/>
    </row>
    <row r="50" spans="1:8" ht="12.75">
      <c r="A50" s="56" t="s">
        <v>124</v>
      </c>
      <c r="B50" s="53"/>
      <c r="C50" s="56" t="s">
        <v>125</v>
      </c>
      <c r="D50" s="57"/>
      <c r="E50" s="55"/>
      <c r="F50" s="55"/>
      <c r="G50" s="55"/>
      <c r="H50" s="69"/>
    </row>
    <row r="51" spans="1:8" ht="12.75">
      <c r="A51" s="57">
        <f>C10/1000</f>
        <v>0.3</v>
      </c>
      <c r="B51" s="54"/>
      <c r="C51" s="57">
        <f>D10*C10/B10</f>
        <v>0.01</v>
      </c>
      <c r="D51" s="57"/>
      <c r="E51" s="57"/>
      <c r="F51" s="54"/>
      <c r="G51" s="54"/>
      <c r="H51" s="70"/>
    </row>
    <row r="52" spans="1:9" ht="12.75">
      <c r="A52" s="53" t="s">
        <v>20</v>
      </c>
      <c r="B52" s="56" t="s">
        <v>27</v>
      </c>
      <c r="C52" s="53" t="s">
        <v>22</v>
      </c>
      <c r="D52" s="53" t="s">
        <v>24</v>
      </c>
      <c r="E52" s="53" t="s">
        <v>25</v>
      </c>
      <c r="F52" s="53" t="s">
        <v>26</v>
      </c>
      <c r="G52" s="53" t="s">
        <v>31</v>
      </c>
      <c r="H52" s="71"/>
      <c r="I52" s="1"/>
    </row>
    <row r="53" spans="1:8" ht="12.75">
      <c r="A53" s="54">
        <f>$A$10*$A$12</f>
        <v>0.1</v>
      </c>
      <c r="B53" s="57">
        <f>$A$10*(1+4.9*SQRT(273/$C$10)*A53/$A$10)</f>
        <v>1.4674302086943034</v>
      </c>
      <c r="C53" s="54">
        <f>LOG(A53*C51*100)</f>
        <v>-0.9999999999999999</v>
      </c>
      <c r="D53" s="54">
        <f>(A27+B27*$A$51+C27*$A$51^2)</f>
        <v>-2.56820636</v>
      </c>
      <c r="E53" s="54">
        <f>(A28+B28*$A$51+C28*$A$51^2)</f>
        <v>1.1228621</v>
      </c>
      <c r="F53" s="54">
        <f>(A29+B29*$A$51+C29*$A$51^2)</f>
        <v>-0.15571564999999998</v>
      </c>
      <c r="G53" s="54">
        <f>EXP(D53+E53*C53+F53*C53^2)</f>
        <v>0.021348279885011562</v>
      </c>
      <c r="H53" s="72"/>
    </row>
    <row r="54" spans="1:8" ht="12.75">
      <c r="A54" s="53" t="s">
        <v>29</v>
      </c>
      <c r="B54" s="53" t="s">
        <v>18</v>
      </c>
      <c r="C54" s="53" t="s">
        <v>30</v>
      </c>
      <c r="D54" s="53" t="s">
        <v>32</v>
      </c>
      <c r="E54" s="53" t="s">
        <v>33</v>
      </c>
      <c r="F54" s="53" t="s">
        <v>34</v>
      </c>
      <c r="G54" s="53" t="s">
        <v>126</v>
      </c>
      <c r="H54" s="72"/>
    </row>
    <row r="55" spans="1:8" ht="12.75">
      <c r="A55" s="54">
        <f>1.888-2.053*LOG(MAX(0.75,A51))</f>
        <v>2.1444992262568396</v>
      </c>
      <c r="B55" s="54">
        <f>1.1*A51^-1.4</f>
        <v>5.935030136813603</v>
      </c>
      <c r="C55" s="54">
        <f>(A55*B53+B55)/(B53+A55+B55-1)</f>
        <v>1.0625922595851525</v>
      </c>
      <c r="D55" s="54">
        <f>LOG(13.2*A51^2)</f>
        <v>0.07481644064517472</v>
      </c>
      <c r="E55" s="54">
        <f>EXP(-0.5*(D55-C53)^2)</f>
        <v>0.5612352109122345</v>
      </c>
      <c r="F55" s="57">
        <f>G53*(1+E55*(C55-1))</f>
        <v>0.022098223182334602</v>
      </c>
      <c r="G55" s="57">
        <f>F55*SQRT($B$10/$C$10)</f>
        <v>0.0494131292176619</v>
      </c>
      <c r="H55" s="72"/>
    </row>
    <row r="56" spans="1:8" ht="12.75">
      <c r="A56" s="55"/>
      <c r="B56" s="55"/>
      <c r="C56" s="55"/>
      <c r="D56" s="57"/>
      <c r="E56" s="57"/>
      <c r="F56" s="57"/>
      <c r="G56" s="57"/>
      <c r="H56" s="72"/>
    </row>
    <row r="57" spans="1:8" ht="12.75">
      <c r="A57" s="53" t="s">
        <v>21</v>
      </c>
      <c r="B57" s="56" t="s">
        <v>28</v>
      </c>
      <c r="C57" s="58" t="s">
        <v>23</v>
      </c>
      <c r="D57" s="56" t="s">
        <v>24</v>
      </c>
      <c r="E57" s="56" t="s">
        <v>25</v>
      </c>
      <c r="F57" s="56" t="s">
        <v>26</v>
      </c>
      <c r="G57" s="56" t="s">
        <v>35</v>
      </c>
      <c r="H57" s="73" t="s">
        <v>37</v>
      </c>
    </row>
    <row r="58" spans="1:8" ht="12.75">
      <c r="A58" s="54">
        <f>$A$10*$B$12</f>
        <v>0.05</v>
      </c>
      <c r="B58" s="57">
        <f>$A$10*(1+0.28*A58/$A$10)</f>
        <v>1.014</v>
      </c>
      <c r="C58" s="55">
        <f>LOG(A58*C51*100)</f>
        <v>-1.3010299956639813</v>
      </c>
      <c r="D58" s="57">
        <f>D27+E27*$A$51+F27*$A$51^2+G27*$A$51^3+H27*$A$51^4</f>
        <v>-3.3279360960999997</v>
      </c>
      <c r="E58" s="57">
        <f>D28+E28*$A$51+F28*$A$51^2+G28*$A$51^3+H28*$A$51^4</f>
        <v>1.1522491920000002</v>
      </c>
      <c r="F58" s="57">
        <f>D29+E29*$A$51+F29*$A$51^2+G29*$A$51^3+H29*$A$51^4</f>
        <v>-0.23389955359999998</v>
      </c>
      <c r="G58" s="57">
        <f>D30+E30*$A$51+F30*$A$51^2+G30*$A$51^3+H30*$A$51^4</f>
        <v>-0.002529135660000004</v>
      </c>
      <c r="H58" s="74">
        <f>EXP(D58+E58*C58+F58*C58^2+G58*C58^3)</f>
        <v>0.0054214389891819315</v>
      </c>
    </row>
    <row r="59" spans="1:8" ht="12.75">
      <c r="A59" s="53" t="s">
        <v>29</v>
      </c>
      <c r="B59" s="53" t="s">
        <v>18</v>
      </c>
      <c r="C59" s="53" t="s">
        <v>30</v>
      </c>
      <c r="D59" s="53" t="s">
        <v>32</v>
      </c>
      <c r="E59" s="53" t="s">
        <v>33</v>
      </c>
      <c r="F59" s="53" t="s">
        <v>36</v>
      </c>
      <c r="G59" s="53" t="s">
        <v>3</v>
      </c>
      <c r="H59" s="72"/>
    </row>
    <row r="60" spans="1:8" ht="12.75">
      <c r="A60" s="54">
        <f>0.1*A51^-1.45+1</f>
        <v>1.5730258059489226</v>
      </c>
      <c r="B60" s="54">
        <v>0.23</v>
      </c>
      <c r="C60" s="54">
        <f>(A60*B58+B60)/(B58+A60+B60-1)</f>
        <v>1.0044151058598176</v>
      </c>
      <c r="D60" s="54">
        <f>($C$10&lt;=700)*LOG(0.054/A51^2)+($C$10&gt;700)*LOG(0.225*A51^2)</f>
        <v>-0.2218487496163564</v>
      </c>
      <c r="E60" s="54">
        <f>EXP(-1.47*(D60-C58)^2)</f>
        <v>0.18050274783242676</v>
      </c>
      <c r="F60" s="57">
        <f>H58*(1+E60*(C60-1))</f>
        <v>0.005425759543937158</v>
      </c>
      <c r="G60" s="57">
        <f>F60*SQRT($B$10/$C$10)</f>
        <v>0.012132367169811743</v>
      </c>
      <c r="H60" s="72"/>
    </row>
    <row r="61" spans="1:8" ht="12.75">
      <c r="A61" s="57"/>
      <c r="B61" s="57"/>
      <c r="C61" s="57"/>
      <c r="D61" s="57"/>
      <c r="E61" s="55"/>
      <c r="F61" s="55"/>
      <c r="G61" s="55"/>
      <c r="H61" s="69"/>
    </row>
    <row r="62" spans="1:8" ht="12.75">
      <c r="A62" s="56" t="s">
        <v>110</v>
      </c>
      <c r="B62" s="57"/>
      <c r="C62" s="57"/>
      <c r="D62" s="57"/>
      <c r="E62" s="55"/>
      <c r="F62" s="55"/>
      <c r="G62" s="55"/>
      <c r="H62" s="69"/>
    </row>
    <row r="63" spans="1:8" ht="12.75">
      <c r="A63" s="56" t="s">
        <v>111</v>
      </c>
      <c r="B63" s="56" t="s">
        <v>112</v>
      </c>
      <c r="C63" s="56" t="s">
        <v>113</v>
      </c>
      <c r="D63" s="56"/>
      <c r="E63" s="55"/>
      <c r="F63" s="55"/>
      <c r="G63" s="55"/>
      <c r="H63" s="69"/>
    </row>
    <row r="64" spans="1:8" ht="13.5" thickBot="1">
      <c r="A64" s="59">
        <f>MAX(LOG((A53+A58)*C51*100),0)</f>
        <v>0</v>
      </c>
      <c r="B64" s="59">
        <f>A53/(A53+A58)</f>
        <v>0.6666666666666666</v>
      </c>
      <c r="C64" s="59">
        <f>(B64/(10.7+101*B64)-0.0089*B64^10.4)*A64^2.76</f>
        <v>0</v>
      </c>
      <c r="D64" s="59"/>
      <c r="E64" s="60"/>
      <c r="F64" s="60"/>
      <c r="G64" s="60"/>
      <c r="H64" s="75"/>
    </row>
    <row r="65" spans="5:8" ht="13.5" thickTop="1">
      <c r="E65" s="4"/>
      <c r="F65" s="4"/>
      <c r="G65" s="4"/>
      <c r="H65" s="4"/>
    </row>
    <row r="66" spans="5:8" ht="13.5" thickBot="1">
      <c r="E66" s="4"/>
      <c r="F66" s="4"/>
      <c r="G66" s="4"/>
      <c r="H66" s="4"/>
    </row>
    <row r="67" spans="1:10" ht="13.5" thickTop="1">
      <c r="A67" s="11" t="s">
        <v>11</v>
      </c>
      <c r="B67" s="12"/>
      <c r="C67" s="12"/>
      <c r="D67" s="12"/>
      <c r="E67" s="22"/>
      <c r="F67" s="22"/>
      <c r="G67" s="22"/>
      <c r="H67" s="22"/>
      <c r="I67" s="12"/>
      <c r="J67" s="13"/>
    </row>
    <row r="68" spans="1:10" ht="12.75">
      <c r="A68" s="14"/>
      <c r="B68" s="6"/>
      <c r="C68" s="6"/>
      <c r="D68" s="6"/>
      <c r="E68" s="4"/>
      <c r="F68" s="4"/>
      <c r="G68" s="4"/>
      <c r="H68" s="4"/>
      <c r="I68" s="6"/>
      <c r="J68" s="15"/>
    </row>
    <row r="69" spans="1:10" ht="12.75">
      <c r="A69" s="24" t="s">
        <v>120</v>
      </c>
      <c r="B69" s="25"/>
      <c r="C69" s="25"/>
      <c r="D69" s="25"/>
      <c r="E69" s="26"/>
      <c r="F69" s="26"/>
      <c r="G69" s="27"/>
      <c r="H69" s="91"/>
      <c r="I69" s="92"/>
      <c r="J69" s="93"/>
    </row>
    <row r="70" spans="1:10" ht="12.75">
      <c r="A70" s="28" t="s">
        <v>107</v>
      </c>
      <c r="B70" s="29"/>
      <c r="C70" s="29"/>
      <c r="D70" s="29"/>
      <c r="E70" s="29"/>
      <c r="F70" s="29"/>
      <c r="G70" s="30"/>
      <c r="H70" s="34"/>
      <c r="I70" s="34"/>
      <c r="J70" s="35"/>
    </row>
    <row r="71" spans="1:10" ht="12.75">
      <c r="A71" s="28" t="s">
        <v>108</v>
      </c>
      <c r="B71" s="29"/>
      <c r="C71" s="29"/>
      <c r="D71" s="29"/>
      <c r="E71" s="29"/>
      <c r="F71" s="29"/>
      <c r="G71" s="30"/>
      <c r="H71" s="34"/>
      <c r="I71" s="34"/>
      <c r="J71" s="35"/>
    </row>
    <row r="72" spans="1:10" ht="12.75">
      <c r="A72" s="31"/>
      <c r="B72" s="29"/>
      <c r="C72" s="29"/>
      <c r="D72" s="29"/>
      <c r="E72" s="29"/>
      <c r="F72" s="29"/>
      <c r="G72" s="30"/>
      <c r="H72" s="34"/>
      <c r="I72" s="34"/>
      <c r="J72" s="35"/>
    </row>
    <row r="73" spans="1:10" ht="12.75">
      <c r="A73" s="76" t="s">
        <v>106</v>
      </c>
      <c r="B73" s="76" t="s">
        <v>39</v>
      </c>
      <c r="C73" s="76">
        <f>G12</f>
        <v>0</v>
      </c>
      <c r="D73" s="77"/>
      <c r="E73" s="29"/>
      <c r="F73" s="29"/>
      <c r="G73" s="30"/>
      <c r="H73" s="88"/>
      <c r="I73" s="89"/>
      <c r="J73" s="90"/>
    </row>
    <row r="74" spans="1:10" ht="12.75">
      <c r="A74" s="76" t="s">
        <v>86</v>
      </c>
      <c r="B74" s="76" t="s">
        <v>46</v>
      </c>
      <c r="C74" s="76" t="s">
        <v>14</v>
      </c>
      <c r="D74" s="76"/>
      <c r="E74" s="32"/>
      <c r="F74" s="32"/>
      <c r="G74" s="33"/>
      <c r="H74" s="82" t="s">
        <v>109</v>
      </c>
      <c r="I74" s="79" t="s">
        <v>105</v>
      </c>
      <c r="J74" s="80" t="s">
        <v>12</v>
      </c>
    </row>
    <row r="75" spans="1:10" ht="12.75">
      <c r="A75" s="77">
        <v>47455357</v>
      </c>
      <c r="B75" s="77">
        <v>94800</v>
      </c>
      <c r="C75" s="77" t="s">
        <v>49</v>
      </c>
      <c r="D75" s="77"/>
      <c r="E75" s="29"/>
      <c r="F75" s="29"/>
      <c r="G75" s="30"/>
      <c r="H75" s="83">
        <f aca="true" t="shared" si="0" ref="H75:H86">2*PI()*$B$21*$C$21^2*B75^3/((EXP($B$21*$C$21*B75/($A$21*$B$10))-1)*$D$21*$B$10^4)</f>
        <v>7.490571837136565E-07</v>
      </c>
      <c r="I75" s="78">
        <f>$A$10*$C$73*A75*298/$B$10</f>
        <v>0</v>
      </c>
      <c r="J75" s="81">
        <f>H75*I75</f>
        <v>0</v>
      </c>
    </row>
    <row r="76" spans="1:10" ht="12.75">
      <c r="A76" s="77">
        <v>3130000</v>
      </c>
      <c r="B76" s="77">
        <v>61500</v>
      </c>
      <c r="C76" s="77" t="s">
        <v>60</v>
      </c>
      <c r="D76" s="77"/>
      <c r="E76" s="29"/>
      <c r="F76" s="29"/>
      <c r="G76" s="30"/>
      <c r="H76" s="83">
        <f t="shared" si="0"/>
        <v>3.7721488287691055E-07</v>
      </c>
      <c r="I76" s="78">
        <f aca="true" t="shared" si="1" ref="I76:I86">$A$10*$C$73*A76*298/$B$10</f>
        <v>0</v>
      </c>
      <c r="J76" s="81">
        <f aca="true" t="shared" si="2" ref="J76:J86">H76*I76</f>
        <v>0</v>
      </c>
    </row>
    <row r="77" spans="1:10" ht="12.75">
      <c r="A77" s="77">
        <v>174000</v>
      </c>
      <c r="B77" s="77">
        <v>171920</v>
      </c>
      <c r="C77" s="77" t="s">
        <v>50</v>
      </c>
      <c r="D77" s="77"/>
      <c r="E77" s="29"/>
      <c r="F77" s="29"/>
      <c r="G77" s="30"/>
      <c r="H77" s="83">
        <f t="shared" si="0"/>
        <v>1.5763207606383998E-06</v>
      </c>
      <c r="I77" s="78">
        <f t="shared" si="1"/>
        <v>0</v>
      </c>
      <c r="J77" s="81">
        <f t="shared" si="2"/>
        <v>0</v>
      </c>
    </row>
    <row r="78" spans="1:10" ht="12.75">
      <c r="A78" s="77">
        <v>20500</v>
      </c>
      <c r="B78" s="77">
        <v>138810</v>
      </c>
      <c r="C78" s="77" t="s">
        <v>51</v>
      </c>
      <c r="D78" s="77"/>
      <c r="E78" s="29"/>
      <c r="F78" s="29"/>
      <c r="G78" s="30"/>
      <c r="H78" s="83">
        <f t="shared" si="0"/>
        <v>1.2511703326244741E-06</v>
      </c>
      <c r="I78" s="78">
        <f t="shared" si="1"/>
        <v>0</v>
      </c>
      <c r="J78" s="81">
        <f t="shared" si="2"/>
        <v>0</v>
      </c>
    </row>
    <row r="79" spans="1:10" ht="12.75">
      <c r="A79" s="77">
        <v>374000</v>
      </c>
      <c r="B79" s="77">
        <v>158790</v>
      </c>
      <c r="C79" s="77" t="s">
        <v>52</v>
      </c>
      <c r="D79" s="77"/>
      <c r="E79" s="29"/>
      <c r="F79" s="29"/>
      <c r="G79" s="30"/>
      <c r="H79" s="83">
        <f t="shared" si="0"/>
        <v>1.4552197714126566E-06</v>
      </c>
      <c r="I79" s="78">
        <f t="shared" si="1"/>
        <v>0</v>
      </c>
      <c r="J79" s="81">
        <f t="shared" si="2"/>
        <v>0</v>
      </c>
    </row>
    <row r="80" spans="1:10" ht="12.75">
      <c r="A80" s="77">
        <v>85300</v>
      </c>
      <c r="B80" s="77">
        <v>125700</v>
      </c>
      <c r="C80" s="77" t="s">
        <v>53</v>
      </c>
      <c r="D80" s="77"/>
      <c r="E80" s="29"/>
      <c r="F80" s="29"/>
      <c r="G80" s="30"/>
      <c r="H80" s="83">
        <f t="shared" si="0"/>
        <v>1.106815784680975E-06</v>
      </c>
      <c r="I80" s="78">
        <f t="shared" si="1"/>
        <v>0</v>
      </c>
      <c r="J80" s="81">
        <f t="shared" si="2"/>
        <v>0</v>
      </c>
    </row>
    <row r="81" spans="1:10" ht="12.75">
      <c r="A81" s="77">
        <v>624000</v>
      </c>
      <c r="B81" s="77">
        <v>99120</v>
      </c>
      <c r="C81" s="77" t="s">
        <v>54</v>
      </c>
      <c r="D81" s="77"/>
      <c r="E81" s="29"/>
      <c r="F81" s="29"/>
      <c r="G81" s="30"/>
      <c r="H81" s="83">
        <f t="shared" si="0"/>
        <v>7.995543804054633E-07</v>
      </c>
      <c r="I81" s="78">
        <f t="shared" si="1"/>
        <v>0</v>
      </c>
      <c r="J81" s="81">
        <f t="shared" si="2"/>
        <v>0</v>
      </c>
    </row>
    <row r="82" spans="1:10" ht="12.75">
      <c r="A82" s="77">
        <v>0</v>
      </c>
      <c r="B82" s="77">
        <v>145600</v>
      </c>
      <c r="C82" s="77" t="s">
        <v>55</v>
      </c>
      <c r="D82" s="77"/>
      <c r="E82" s="29"/>
      <c r="F82" s="29"/>
      <c r="G82" s="30"/>
      <c r="H82" s="83">
        <f t="shared" si="0"/>
        <v>1.3229262159055195E-06</v>
      </c>
      <c r="I82" s="78">
        <f t="shared" si="1"/>
        <v>0</v>
      </c>
      <c r="J82" s="81">
        <f t="shared" si="2"/>
        <v>0</v>
      </c>
    </row>
    <row r="83" spans="1:10" ht="12.75">
      <c r="A83" s="77">
        <v>7140</v>
      </c>
      <c r="B83" s="77">
        <v>114040</v>
      </c>
      <c r="C83" s="77" t="s">
        <v>56</v>
      </c>
      <c r="D83" s="77"/>
      <c r="E83" s="29"/>
      <c r="F83" s="29"/>
      <c r="G83" s="30"/>
      <c r="H83" s="83">
        <f t="shared" si="0"/>
        <v>9.73552569454016E-07</v>
      </c>
      <c r="I83" s="78">
        <f t="shared" si="1"/>
        <v>0</v>
      </c>
      <c r="J83" s="81">
        <f t="shared" si="2"/>
        <v>0</v>
      </c>
    </row>
    <row r="84" spans="1:10" ht="12.75">
      <c r="A84" s="77">
        <f>200000</f>
        <v>200000</v>
      </c>
      <c r="B84" s="77">
        <v>86990</v>
      </c>
      <c r="C84" s="77" t="s">
        <v>57</v>
      </c>
      <c r="D84" s="77"/>
      <c r="E84" s="29"/>
      <c r="F84" s="29"/>
      <c r="G84" s="30"/>
      <c r="H84" s="83">
        <f t="shared" si="0"/>
        <v>6.583217844058134E-07</v>
      </c>
      <c r="I84" s="78">
        <f t="shared" si="1"/>
        <v>0</v>
      </c>
      <c r="J84" s="81">
        <f t="shared" si="2"/>
        <v>0</v>
      </c>
    </row>
    <row r="85" spans="1:10" ht="12.75">
      <c r="A85" s="77">
        <f>13400</f>
        <v>13400</v>
      </c>
      <c r="B85" s="77">
        <v>30095</v>
      </c>
      <c r="C85" s="77" t="s">
        <v>58</v>
      </c>
      <c r="D85" s="77"/>
      <c r="E85" s="29"/>
      <c r="F85" s="29"/>
      <c r="G85" s="30"/>
      <c r="H85" s="83">
        <f t="shared" si="0"/>
        <v>1.061722127859892E-07</v>
      </c>
      <c r="I85" s="78">
        <f t="shared" si="1"/>
        <v>0</v>
      </c>
      <c r="J85" s="81">
        <f t="shared" si="2"/>
        <v>0</v>
      </c>
    </row>
    <row r="86" spans="1:10" ht="12.75">
      <c r="A86" s="77">
        <f>5130</f>
        <v>5130</v>
      </c>
      <c r="B86" s="77">
        <v>222500</v>
      </c>
      <c r="C86" s="77" t="s">
        <v>59</v>
      </c>
      <c r="D86" s="77"/>
      <c r="E86" s="29"/>
      <c r="F86" s="29"/>
      <c r="G86" s="30"/>
      <c r="H86" s="83">
        <f t="shared" si="0"/>
        <v>1.927253090482643E-06</v>
      </c>
      <c r="I86" s="78">
        <f t="shared" si="1"/>
        <v>0</v>
      </c>
      <c r="J86" s="81">
        <f t="shared" si="2"/>
        <v>0</v>
      </c>
    </row>
    <row r="87" spans="1:10" ht="12.75">
      <c r="A87" s="31"/>
      <c r="B87" s="29"/>
      <c r="C87" s="29"/>
      <c r="D87" s="29"/>
      <c r="E87" s="29"/>
      <c r="F87" s="29"/>
      <c r="G87" s="30"/>
      <c r="H87" s="34"/>
      <c r="I87" s="34"/>
      <c r="J87" s="35"/>
    </row>
    <row r="88" spans="1:10" ht="12.75">
      <c r="A88" s="76" t="s">
        <v>87</v>
      </c>
      <c r="B88" s="76" t="s">
        <v>39</v>
      </c>
      <c r="C88" s="76">
        <f>A12</f>
        <v>0.1</v>
      </c>
      <c r="D88" s="76"/>
      <c r="E88" s="32"/>
      <c r="F88" s="32"/>
      <c r="G88" s="33"/>
      <c r="H88" s="36"/>
      <c r="I88" s="36"/>
      <c r="J88" s="37"/>
    </row>
    <row r="89" spans="1:10" ht="12.75">
      <c r="A89" s="76" t="s">
        <v>86</v>
      </c>
      <c r="B89" s="76" t="s">
        <v>46</v>
      </c>
      <c r="C89" s="76" t="s">
        <v>88</v>
      </c>
      <c r="D89" s="77"/>
      <c r="E89" s="29"/>
      <c r="F89" s="29"/>
      <c r="G89" s="30"/>
      <c r="H89" s="34"/>
      <c r="I89" s="34"/>
      <c r="J89" s="35"/>
    </row>
    <row r="90" spans="1:10" ht="12.75">
      <c r="A90" s="77">
        <v>19200</v>
      </c>
      <c r="B90" s="77">
        <v>880700</v>
      </c>
      <c r="C90" s="77" t="s">
        <v>85</v>
      </c>
      <c r="D90" s="77"/>
      <c r="E90" s="29"/>
      <c r="F90" s="29"/>
      <c r="G90" s="30"/>
      <c r="H90" s="84">
        <f aca="true" t="shared" si="3" ref="H90:H95">2*PI()*$B$21*$C$21^2*B90^3/((EXP($B$21*$C$21*B90/($A$21*$B$10))-1)*$D$21*$B$10^4)</f>
        <v>1.90973324032844E-07</v>
      </c>
      <c r="I90" s="78">
        <f aca="true" t="shared" si="4" ref="I90:I95">$A$10*$C$88*A90*298/$B$10</f>
        <v>381.44</v>
      </c>
      <c r="J90" s="81">
        <f aca="true" t="shared" si="5" ref="J90:J95">H90*I90</f>
        <v>7.284486471908801E-05</v>
      </c>
    </row>
    <row r="91" spans="1:10" ht="12.75">
      <c r="A91" s="77">
        <v>212000</v>
      </c>
      <c r="B91" s="77">
        <v>725000</v>
      </c>
      <c r="C91" s="77" t="s">
        <v>62</v>
      </c>
      <c r="D91" s="77"/>
      <c r="E91" s="29"/>
      <c r="F91" s="29"/>
      <c r="G91" s="30"/>
      <c r="H91" s="84">
        <f t="shared" si="3"/>
        <v>4.7470255335013587E-07</v>
      </c>
      <c r="I91" s="78">
        <f t="shared" si="4"/>
        <v>4211.733333333334</v>
      </c>
      <c r="J91" s="81">
        <f t="shared" si="5"/>
        <v>0.0019993205673632126</v>
      </c>
    </row>
    <row r="92" spans="1:10" ht="12.75">
      <c r="A92" s="77">
        <v>260000</v>
      </c>
      <c r="B92" s="77">
        <v>533100</v>
      </c>
      <c r="C92" s="77" t="s">
        <v>63</v>
      </c>
      <c r="D92" s="77"/>
      <c r="E92" s="29"/>
      <c r="F92" s="29"/>
      <c r="G92" s="30"/>
      <c r="H92" s="84">
        <f t="shared" si="3"/>
        <v>1.1951821279253298E-06</v>
      </c>
      <c r="I92" s="78">
        <f t="shared" si="4"/>
        <v>5165.333333333333</v>
      </c>
      <c r="J92" s="81">
        <f t="shared" si="5"/>
        <v>0.00617351408477697</v>
      </c>
    </row>
    <row r="93" spans="1:10" ht="12.75">
      <c r="A93" s="77">
        <v>2000000</v>
      </c>
      <c r="B93" s="77">
        <v>375500</v>
      </c>
      <c r="C93" s="77" t="s">
        <v>64</v>
      </c>
      <c r="D93" s="77"/>
      <c r="E93" s="29"/>
      <c r="F93" s="29"/>
      <c r="G93" s="30"/>
      <c r="H93" s="84">
        <f t="shared" si="3"/>
        <v>1.9352625995173807E-06</v>
      </c>
      <c r="I93" s="78">
        <f t="shared" si="4"/>
        <v>39733.333333333336</v>
      </c>
      <c r="J93" s="81">
        <f t="shared" si="5"/>
        <v>0.07689443395415727</v>
      </c>
    </row>
    <row r="94" spans="1:10" ht="12.75">
      <c r="A94" s="77">
        <v>3000000</v>
      </c>
      <c r="B94" s="77">
        <v>159500</v>
      </c>
      <c r="C94" s="77" t="s">
        <v>65</v>
      </c>
      <c r="D94" s="77"/>
      <c r="E94" s="29"/>
      <c r="F94" s="29"/>
      <c r="G94" s="30"/>
      <c r="H94" s="84">
        <f t="shared" si="3"/>
        <v>1.4620507805847876E-06</v>
      </c>
      <c r="I94" s="78">
        <f t="shared" si="4"/>
        <v>59600</v>
      </c>
      <c r="J94" s="81">
        <f t="shared" si="5"/>
        <v>0.08713822652285334</v>
      </c>
    </row>
    <row r="95" spans="1:10" ht="12.75">
      <c r="A95" s="77">
        <v>9200000</v>
      </c>
      <c r="B95" s="77">
        <v>50000</v>
      </c>
      <c r="C95" s="77" t="s">
        <v>66</v>
      </c>
      <c r="D95" s="77"/>
      <c r="E95" s="29"/>
      <c r="F95" s="29"/>
      <c r="G95" s="30"/>
      <c r="H95" s="84">
        <f t="shared" si="3"/>
        <v>2.647621127192403E-07</v>
      </c>
      <c r="I95" s="78">
        <f t="shared" si="4"/>
        <v>182773.33333333334</v>
      </c>
      <c r="J95" s="81">
        <f t="shared" si="5"/>
        <v>0.04839145388207128</v>
      </c>
    </row>
    <row r="96" spans="1:10" ht="12.75">
      <c r="A96" s="77" t="s">
        <v>40</v>
      </c>
      <c r="B96" s="77"/>
      <c r="C96" s="77"/>
      <c r="D96" s="77"/>
      <c r="E96" s="29"/>
      <c r="F96" s="29"/>
      <c r="G96" s="30"/>
      <c r="H96" s="34"/>
      <c r="I96" s="34"/>
      <c r="J96" s="35"/>
    </row>
    <row r="97" spans="1:10" ht="12.75">
      <c r="A97" s="31"/>
      <c r="B97" s="29"/>
      <c r="C97" s="29"/>
      <c r="D97" s="29"/>
      <c r="E97" s="29"/>
      <c r="F97" s="29"/>
      <c r="G97" s="30"/>
      <c r="H97" s="34"/>
      <c r="I97" s="34"/>
      <c r="J97" s="35"/>
    </row>
    <row r="98" spans="1:10" ht="12.75">
      <c r="A98" s="76" t="s">
        <v>89</v>
      </c>
      <c r="B98" s="76" t="s">
        <v>39</v>
      </c>
      <c r="C98" s="76">
        <f>B12</f>
        <v>0.05</v>
      </c>
      <c r="D98" s="76"/>
      <c r="E98" s="32"/>
      <c r="F98" s="32"/>
      <c r="G98" s="33"/>
      <c r="H98" s="36"/>
      <c r="I98" s="36"/>
      <c r="J98" s="37"/>
    </row>
    <row r="99" spans="1:10" ht="12.75">
      <c r="A99" s="76" t="s">
        <v>86</v>
      </c>
      <c r="B99" s="76" t="s">
        <v>46</v>
      </c>
      <c r="C99" s="76" t="s">
        <v>88</v>
      </c>
      <c r="D99" s="77"/>
      <c r="E99" s="29"/>
      <c r="F99" s="29"/>
      <c r="G99" s="30"/>
      <c r="H99" s="34"/>
      <c r="I99" s="34"/>
      <c r="J99" s="35"/>
    </row>
    <row r="100" spans="1:10" ht="12.75">
      <c r="A100" s="77">
        <v>670000</v>
      </c>
      <c r="B100" s="77">
        <v>371500</v>
      </c>
      <c r="C100" s="77" t="s">
        <v>67</v>
      </c>
      <c r="D100" s="77"/>
      <c r="E100" s="29"/>
      <c r="F100" s="29"/>
      <c r="G100" s="30"/>
      <c r="H100" s="84">
        <f>2*PI()*$B$21*$C$21^2*B100^3/((EXP($B$21*$C$21*B100/($A$21*$B$10))-1)*$D$21*$B$10^4)</f>
        <v>1.9495117465701033E-06</v>
      </c>
      <c r="I100" s="78">
        <f>$A$10*$C$98*A100*298/$B$10</f>
        <v>6655.333333333333</v>
      </c>
      <c r="J100" s="81">
        <f>H100*I100</f>
        <v>0.012974650510672894</v>
      </c>
    </row>
    <row r="101" spans="1:10" ht="12.75">
      <c r="A101" s="77">
        <v>29700000</v>
      </c>
      <c r="B101" s="77">
        <v>234900</v>
      </c>
      <c r="C101" s="77" t="s">
        <v>68</v>
      </c>
      <c r="D101" s="77"/>
      <c r="E101" s="29"/>
      <c r="F101" s="29"/>
      <c r="G101" s="30"/>
      <c r="H101" s="84">
        <f>2*PI()*$B$21*$C$21^2*B101^3/((EXP($B$21*$C$21*B101/($A$21*$B$10))-1)*$D$21*$B$10^4)</f>
        <v>1.9836044736066848E-06</v>
      </c>
      <c r="I101" s="78">
        <f>$A$10*$C$98*A101*298/$B$10</f>
        <v>295020</v>
      </c>
      <c r="J101" s="81">
        <f>H101*I101</f>
        <v>0.5852029918034442</v>
      </c>
    </row>
    <row r="102" spans="1:10" ht="12.75">
      <c r="A102" s="77">
        <v>2400000</v>
      </c>
      <c r="B102" s="77">
        <v>66700</v>
      </c>
      <c r="C102" s="77" t="s">
        <v>69</v>
      </c>
      <c r="D102" s="77"/>
      <c r="E102" s="29"/>
      <c r="F102" s="29"/>
      <c r="G102" s="30"/>
      <c r="H102" s="84">
        <f>2*PI()*$B$21*$C$21^2*B102^3/((EXP($B$21*$C$21*B102/($A$21*$B$10))-1)*$D$21*$B$10^4)</f>
        <v>4.316746596076615E-07</v>
      </c>
      <c r="I102" s="78">
        <f>$A$10*$C$98*A102*298/$B$10</f>
        <v>23840</v>
      </c>
      <c r="J102" s="81">
        <f>H102*I102</f>
        <v>0.01029112388504665</v>
      </c>
    </row>
    <row r="103" spans="1:10" ht="12.75">
      <c r="A103" s="31"/>
      <c r="B103" s="29"/>
      <c r="C103" s="29"/>
      <c r="D103" s="29"/>
      <c r="E103" s="29"/>
      <c r="F103" s="29"/>
      <c r="G103" s="30"/>
      <c r="H103" s="34"/>
      <c r="I103" s="34"/>
      <c r="J103" s="35"/>
    </row>
    <row r="104" spans="1:10" ht="12.75">
      <c r="A104" s="76" t="s">
        <v>90</v>
      </c>
      <c r="B104" s="76" t="s">
        <v>39</v>
      </c>
      <c r="C104" s="76">
        <f>C12</f>
        <v>0</v>
      </c>
      <c r="D104" s="76"/>
      <c r="E104" s="32"/>
      <c r="F104" s="32"/>
      <c r="G104" s="33"/>
      <c r="H104" s="36"/>
      <c r="I104" s="36"/>
      <c r="J104" s="37"/>
    </row>
    <row r="105" spans="1:10" ht="12.75">
      <c r="A105" s="76" t="s">
        <v>86</v>
      </c>
      <c r="B105" s="76" t="s">
        <v>46</v>
      </c>
      <c r="C105" s="76" t="s">
        <v>88</v>
      </c>
      <c r="D105" s="77"/>
      <c r="E105" s="29"/>
      <c r="F105" s="29"/>
      <c r="G105" s="30"/>
      <c r="H105" s="34"/>
      <c r="I105" s="34"/>
      <c r="J105" s="35"/>
    </row>
    <row r="106" spans="1:10" ht="12.75">
      <c r="A106" s="77">
        <v>2890000</v>
      </c>
      <c r="B106" s="77">
        <v>214300</v>
      </c>
      <c r="C106" s="77" t="s">
        <v>70</v>
      </c>
      <c r="D106" s="77"/>
      <c r="E106" s="29"/>
      <c r="F106" s="29"/>
      <c r="G106" s="30"/>
      <c r="H106" s="84">
        <f>2*PI()*$B$21*$C$21^2*B106^3/((EXP($B$21*$C$21*B106/($A$21*$B$10))-1)*$D$21*$B$10^4)</f>
        <v>1.883520306722248E-06</v>
      </c>
      <c r="I106" s="78">
        <f>$A$10*$C$104*A106*298/$B$10</f>
        <v>0</v>
      </c>
      <c r="J106" s="81">
        <f>H106*I106</f>
        <v>0</v>
      </c>
    </row>
    <row r="107" spans="1:10" ht="12.75">
      <c r="A107" s="77">
        <v>23000</v>
      </c>
      <c r="B107" s="77">
        <v>426000</v>
      </c>
      <c r="C107" s="77" t="s">
        <v>71</v>
      </c>
      <c r="D107" s="77"/>
      <c r="E107" s="29"/>
      <c r="F107" s="29"/>
      <c r="G107" s="30"/>
      <c r="H107" s="84">
        <f>2*PI()*$B$21*$C$21^2*B107^3/((EXP($B$21*$C$21*B107/($A$21*$B$10))-1)*$D$21*$B$10^4)</f>
        <v>1.7223495030994816E-06</v>
      </c>
      <c r="I107" s="78">
        <f>$A$10*$C$104*A107*298/$B$10</f>
        <v>0</v>
      </c>
      <c r="J107" s="81">
        <f>H107*I107</f>
        <v>0</v>
      </c>
    </row>
    <row r="108" spans="1:10" ht="12.75">
      <c r="A108" s="31"/>
      <c r="B108" s="29"/>
      <c r="C108" s="29"/>
      <c r="D108" s="29"/>
      <c r="E108" s="29"/>
      <c r="F108" s="29"/>
      <c r="G108" s="30"/>
      <c r="H108" s="38"/>
      <c r="I108" s="34"/>
      <c r="J108" s="35"/>
    </row>
    <row r="109" spans="1:10" ht="12.75">
      <c r="A109" s="76" t="s">
        <v>91</v>
      </c>
      <c r="B109" s="76" t="s">
        <v>39</v>
      </c>
      <c r="C109" s="76">
        <f>D12</f>
        <v>0</v>
      </c>
      <c r="D109" s="76"/>
      <c r="E109" s="32"/>
      <c r="F109" s="32"/>
      <c r="G109" s="33"/>
      <c r="H109" s="36"/>
      <c r="I109" s="36"/>
      <c r="J109" s="37"/>
    </row>
    <row r="110" spans="1:10" ht="12.75">
      <c r="A110" s="76" t="s">
        <v>86</v>
      </c>
      <c r="B110" s="76" t="s">
        <v>46</v>
      </c>
      <c r="C110" s="76" t="s">
        <v>88</v>
      </c>
      <c r="D110" s="77"/>
      <c r="E110" s="29"/>
      <c r="F110" s="29"/>
      <c r="G110" s="30"/>
      <c r="H110" s="34"/>
      <c r="I110" s="34"/>
      <c r="J110" s="35"/>
    </row>
    <row r="111" spans="1:10" ht="12.75">
      <c r="A111" s="77">
        <v>143000</v>
      </c>
      <c r="B111" s="77">
        <v>344800</v>
      </c>
      <c r="C111" s="77" t="s">
        <v>72</v>
      </c>
      <c r="D111" s="77"/>
      <c r="E111" s="29"/>
      <c r="F111" s="29"/>
      <c r="G111" s="30"/>
      <c r="H111" s="84">
        <f>2*PI()*$B$21*$C$21^2*B111^3/((EXP($B$21*$C$21*B111/($A$21*$B$10))-1)*$D$21*$B$10^4)</f>
        <v>2.0308997434500688E-06</v>
      </c>
      <c r="I111" s="78">
        <f>$A$10*$C$109*A111*298/$B$10</f>
        <v>0</v>
      </c>
      <c r="J111" s="81">
        <f>H111*I111</f>
        <v>0</v>
      </c>
    </row>
    <row r="112" spans="1:10" ht="12.75">
      <c r="A112" s="77">
        <v>220000</v>
      </c>
      <c r="B112" s="77">
        <v>333700</v>
      </c>
      <c r="C112" s="77" t="s">
        <v>73</v>
      </c>
      <c r="D112" s="77"/>
      <c r="E112" s="29"/>
      <c r="F112" s="29"/>
      <c r="G112" s="30"/>
      <c r="H112" s="84">
        <f>2*PI()*$B$21*$C$21^2*B112^3/((EXP($B$21*$C$21*B112/($A$21*$B$10))-1)*$D$21*$B$10^4)</f>
        <v>2.056614147294787E-06</v>
      </c>
      <c r="I112" s="78">
        <f>$A$10*$C$109*A112*298/$B$10</f>
        <v>0</v>
      </c>
      <c r="J112" s="81">
        <f>H112*I112</f>
        <v>0</v>
      </c>
    </row>
    <row r="113" spans="1:10" ht="12.75">
      <c r="A113" s="77">
        <v>1210000</v>
      </c>
      <c r="B113" s="77">
        <v>162700</v>
      </c>
      <c r="C113" s="77" t="s">
        <v>74</v>
      </c>
      <c r="D113" s="77"/>
      <c r="E113" s="29"/>
      <c r="F113" s="29"/>
      <c r="G113" s="30"/>
      <c r="H113" s="84">
        <f>2*PI()*$B$21*$C$21^2*B113^3/((EXP($B$21*$C$21*B113/($A$21*$B$10))-1)*$D$21*$B$10^4)</f>
        <v>1.4924480034575994E-06</v>
      </c>
      <c r="I113" s="78">
        <f>$A$10*$C$109*A113*298/$B$10</f>
        <v>0</v>
      </c>
      <c r="J113" s="81">
        <f>H113*I113</f>
        <v>0</v>
      </c>
    </row>
    <row r="114" spans="1:10" ht="12.75">
      <c r="A114" s="77">
        <v>6600000</v>
      </c>
      <c r="B114" s="77">
        <v>95000</v>
      </c>
      <c r="C114" s="77" t="s">
        <v>75</v>
      </c>
      <c r="D114" s="77"/>
      <c r="E114" s="29"/>
      <c r="F114" s="29"/>
      <c r="G114" s="30"/>
      <c r="H114" s="84">
        <f>2*PI()*$B$21*$C$21^2*B114^3/((EXP($B$21*$C$21*B114/($A$21*$B$10))-1)*$D$21*$B$10^4)</f>
        <v>7.513920550524912E-07</v>
      </c>
      <c r="I114" s="78">
        <f>$A$10*$C$109*A114*298/$B$10</f>
        <v>0</v>
      </c>
      <c r="J114" s="81">
        <f>H114*I114</f>
        <v>0</v>
      </c>
    </row>
    <row r="115" spans="1:10" ht="12.75">
      <c r="A115" s="31"/>
      <c r="B115" s="29"/>
      <c r="C115" s="29"/>
      <c r="D115" s="29"/>
      <c r="E115" s="29"/>
      <c r="F115" s="29"/>
      <c r="G115" s="30"/>
      <c r="H115" s="34"/>
      <c r="I115" s="34"/>
      <c r="J115" s="35"/>
    </row>
    <row r="116" spans="1:10" ht="12.75">
      <c r="A116" s="76" t="s">
        <v>92</v>
      </c>
      <c r="B116" s="76" t="s">
        <v>39</v>
      </c>
      <c r="C116" s="76">
        <f>E12</f>
        <v>0</v>
      </c>
      <c r="D116" s="76"/>
      <c r="E116" s="32"/>
      <c r="F116" s="32"/>
      <c r="G116" s="33"/>
      <c r="H116" s="36"/>
      <c r="I116" s="36"/>
      <c r="J116" s="37"/>
    </row>
    <row r="117" spans="1:10" ht="12.75">
      <c r="A117" s="76" t="s">
        <v>86</v>
      </c>
      <c r="B117" s="76" t="s">
        <v>46</v>
      </c>
      <c r="C117" s="76" t="s">
        <v>88</v>
      </c>
      <c r="D117" s="77"/>
      <c r="E117" s="29"/>
      <c r="F117" s="29"/>
      <c r="G117" s="30"/>
      <c r="H117" s="34"/>
      <c r="I117" s="34"/>
      <c r="J117" s="35"/>
    </row>
    <row r="118" spans="1:10" ht="12.75">
      <c r="A118" s="77">
        <v>3200000</v>
      </c>
      <c r="B118" s="77">
        <v>302000</v>
      </c>
      <c r="C118" s="77" t="s">
        <v>76</v>
      </c>
      <c r="D118" s="77"/>
      <c r="E118" s="29"/>
      <c r="F118" s="29"/>
      <c r="G118" s="30"/>
      <c r="H118" s="84">
        <f>2*PI()*$B$21*$C$21^2*B118^3/((EXP($B$21*$C$21*B118/($A$21*$B$10))-1)*$D$21*$B$10^4)</f>
        <v>2.097779178256165E-06</v>
      </c>
      <c r="I118" s="78">
        <f>$A$10*$C$116*A118*298/$B$10</f>
        <v>0</v>
      </c>
      <c r="J118" s="81">
        <f>H118*I118</f>
        <v>0</v>
      </c>
    </row>
    <row r="119" spans="1:10" ht="12.75">
      <c r="A119" s="77">
        <v>24000</v>
      </c>
      <c r="B119" s="77">
        <v>153400</v>
      </c>
      <c r="C119" s="77" t="s">
        <v>77</v>
      </c>
      <c r="D119" s="77"/>
      <c r="E119" s="29"/>
      <c r="F119" s="29"/>
      <c r="G119" s="30"/>
      <c r="H119" s="84">
        <f>2*PI()*$B$21*$C$21^2*B119^3/((EXP($B$21*$C$21*B119/($A$21*$B$10))-1)*$D$21*$B$10^4)</f>
        <v>1.4023666935015512E-06</v>
      </c>
      <c r="I119" s="78">
        <f>$A$10*$C$116*A119*298/$B$10</f>
        <v>0</v>
      </c>
      <c r="J119" s="81">
        <f>H119*I119</f>
        <v>0</v>
      </c>
    </row>
    <row r="120" spans="1:10" ht="12.75">
      <c r="A120" s="77">
        <v>1850000</v>
      </c>
      <c r="B120" s="77">
        <v>130600</v>
      </c>
      <c r="C120" s="77" t="s">
        <v>78</v>
      </c>
      <c r="D120" s="77"/>
      <c r="E120" s="29"/>
      <c r="F120" s="29"/>
      <c r="G120" s="30"/>
      <c r="H120" s="84">
        <f>2*PI()*$B$21*$C$21^2*B120^3/((EXP($B$21*$C$21*B120/($A$21*$B$10))-1)*$D$21*$B$10^4)</f>
        <v>1.1615695340426767E-06</v>
      </c>
      <c r="I120" s="78">
        <f>$A$10*$C$116*A120*298/$B$10</f>
        <v>0</v>
      </c>
      <c r="J120" s="81">
        <f>H120*I120</f>
        <v>0</v>
      </c>
    </row>
    <row r="121" spans="1:10" ht="12.75">
      <c r="A121" s="31"/>
      <c r="B121" s="29"/>
      <c r="C121" s="29"/>
      <c r="D121" s="29"/>
      <c r="E121" s="29"/>
      <c r="F121" s="29"/>
      <c r="G121" s="30"/>
      <c r="H121" s="34"/>
      <c r="I121" s="34"/>
      <c r="J121" s="35"/>
    </row>
    <row r="122" spans="1:10" ht="12.75">
      <c r="A122" s="76" t="s">
        <v>93</v>
      </c>
      <c r="B122" s="76" t="s">
        <v>39</v>
      </c>
      <c r="C122" s="76">
        <f>F12</f>
        <v>0</v>
      </c>
      <c r="D122" s="77"/>
      <c r="E122" s="29"/>
      <c r="F122" s="29"/>
      <c r="G122" s="30"/>
      <c r="H122" s="34"/>
      <c r="I122" s="34"/>
      <c r="J122" s="35"/>
    </row>
    <row r="123" spans="1:10" ht="12.75">
      <c r="A123" s="76" t="s">
        <v>86</v>
      </c>
      <c r="B123" s="76" t="s">
        <v>46</v>
      </c>
      <c r="C123" s="76" t="s">
        <v>88</v>
      </c>
      <c r="D123" s="77"/>
      <c r="E123" s="29"/>
      <c r="F123" s="29"/>
      <c r="G123" s="30"/>
      <c r="H123" s="34"/>
      <c r="I123" s="34"/>
      <c r="J123" s="35"/>
    </row>
    <row r="124" spans="1:10" ht="12.75">
      <c r="A124" s="77">
        <v>440000</v>
      </c>
      <c r="B124" s="77">
        <v>256400</v>
      </c>
      <c r="C124" s="77" t="s">
        <v>79</v>
      </c>
      <c r="D124" s="77"/>
      <c r="E124" s="29"/>
      <c r="F124" s="29"/>
      <c r="G124" s="30"/>
      <c r="H124" s="84">
        <f aca="true" t="shared" si="6" ref="H124:H129">2*PI()*$B$21*$C$21^2*B124^3/((EXP($B$21*$C$21*B124/($A$21*$B$10))-1)*$D$21*$B$10^4)</f>
        <v>2.0539910204617077E-06</v>
      </c>
      <c r="I124" s="78">
        <f aca="true" t="shared" si="7" ref="I124:I129">$A$10*$C$122*A124*298/$B$10</f>
        <v>0</v>
      </c>
      <c r="J124" s="81">
        <f aca="true" t="shared" si="8" ref="J124:J129">H124*I124</f>
        <v>0</v>
      </c>
    </row>
    <row r="125" spans="1:10" ht="12.75">
      <c r="A125" s="77">
        <v>115000</v>
      </c>
      <c r="B125" s="77">
        <v>246200</v>
      </c>
      <c r="C125" s="77" t="s">
        <v>80</v>
      </c>
      <c r="D125" s="77"/>
      <c r="E125" s="29"/>
      <c r="F125" s="29"/>
      <c r="G125" s="30"/>
      <c r="H125" s="84">
        <f t="shared" si="6"/>
        <v>2.024844410942345E-06</v>
      </c>
      <c r="I125" s="78">
        <f t="shared" si="7"/>
        <v>0</v>
      </c>
      <c r="J125" s="81">
        <f t="shared" si="8"/>
        <v>0</v>
      </c>
    </row>
    <row r="126" spans="1:10" ht="12.75">
      <c r="A126" s="77">
        <v>20350000</v>
      </c>
      <c r="B126" s="77">
        <v>222400</v>
      </c>
      <c r="C126" s="77" t="s">
        <v>81</v>
      </c>
      <c r="D126" s="77"/>
      <c r="E126" s="29"/>
      <c r="F126" s="29"/>
      <c r="G126" s="30"/>
      <c r="H126" s="84">
        <f t="shared" si="6"/>
        <v>1.9267508821553114E-06</v>
      </c>
      <c r="I126" s="78">
        <f t="shared" si="7"/>
        <v>0</v>
      </c>
      <c r="J126" s="81">
        <f t="shared" si="8"/>
        <v>0</v>
      </c>
    </row>
    <row r="127" spans="1:10" ht="12.75">
      <c r="A127" s="77">
        <v>2700000</v>
      </c>
      <c r="B127" s="77">
        <v>128500</v>
      </c>
      <c r="C127" s="77" t="s">
        <v>82</v>
      </c>
      <c r="D127" s="77"/>
      <c r="E127" s="29"/>
      <c r="F127" s="29"/>
      <c r="G127" s="30"/>
      <c r="H127" s="84">
        <f t="shared" si="6"/>
        <v>1.1382101668672321E-06</v>
      </c>
      <c r="I127" s="78">
        <f t="shared" si="7"/>
        <v>0</v>
      </c>
      <c r="J127" s="81">
        <f t="shared" si="8"/>
        <v>0</v>
      </c>
    </row>
    <row r="128" spans="1:10" ht="12.75">
      <c r="A128" s="77">
        <v>240000</v>
      </c>
      <c r="B128" s="77">
        <v>116000</v>
      </c>
      <c r="C128" s="77" t="s">
        <v>83</v>
      </c>
      <c r="D128" s="77"/>
      <c r="E128" s="29"/>
      <c r="F128" s="29"/>
      <c r="G128" s="30"/>
      <c r="H128" s="84">
        <f t="shared" si="6"/>
        <v>9.961913105208513E-07</v>
      </c>
      <c r="I128" s="78">
        <f t="shared" si="7"/>
        <v>0</v>
      </c>
      <c r="J128" s="81">
        <f t="shared" si="8"/>
        <v>0</v>
      </c>
    </row>
    <row r="129" spans="1:10" ht="13.5" thickBot="1">
      <c r="A129" s="94">
        <v>362000</v>
      </c>
      <c r="B129" s="94">
        <v>58900</v>
      </c>
      <c r="C129" s="94" t="s">
        <v>84</v>
      </c>
      <c r="D129" s="94"/>
      <c r="E129" s="95"/>
      <c r="F129" s="95"/>
      <c r="G129" s="96"/>
      <c r="H129" s="85">
        <f t="shared" si="6"/>
        <v>3.5075418400408415E-07</v>
      </c>
      <c r="I129" s="86">
        <f t="shared" si="7"/>
        <v>0</v>
      </c>
      <c r="J129" s="87">
        <f t="shared" si="8"/>
        <v>0</v>
      </c>
    </row>
    <row r="130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 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Ronney</dc:creator>
  <cp:keywords/>
  <dc:description/>
  <cp:lastModifiedBy>Paul Ronney</cp:lastModifiedBy>
  <dcterms:created xsi:type="dcterms:W3CDTF">2003-11-06T15:32:20Z</dcterms:created>
  <cp:category/>
  <cp:version/>
  <cp:contentType/>
  <cp:contentStatus/>
</cp:coreProperties>
</file>