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aul/Documents/Paul's documents/Classes/ AME 436 S19/Lecture14 files/"/>
    </mc:Choice>
  </mc:AlternateContent>
  <xr:revisionPtr revIDLastSave="0" documentId="13_ncr:1_{B7542551-687F-4F45-9B39-7C0E6DC1F3ED}" xr6:coauthVersionLast="43" xr6:coauthVersionMax="43" xr10:uidLastSave="{00000000-0000-0000-0000-000000000000}"/>
  <bookViews>
    <workbookView xWindow="5940" yWindow="920" windowWidth="25600" windowHeight="16060" tabRatio="23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Sheet1!$D$8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" l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D51" i="1"/>
  <c r="B51" i="1"/>
  <c r="F134" i="1"/>
  <c r="H8" i="1"/>
  <c r="B250" i="1"/>
  <c r="B366" i="1"/>
  <c r="D283" i="1"/>
  <c r="C4" i="1"/>
  <c r="F223" i="1" s="1"/>
  <c r="D107" i="1"/>
  <c r="D49" i="1"/>
  <c r="E51" i="1" s="1"/>
  <c r="F51" i="1" s="1"/>
  <c r="F283" i="1" s="1"/>
  <c r="E284" i="1" s="1"/>
  <c r="F284" i="1" s="1"/>
  <c r="E285" i="1" s="1"/>
  <c r="F285" i="1" s="1"/>
  <c r="J76" i="1"/>
  <c r="D78" i="1"/>
  <c r="J80" i="1"/>
  <c r="D194" i="1"/>
  <c r="D136" i="1"/>
  <c r="D310" i="1"/>
  <c r="D281" i="1"/>
  <c r="J308" i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41" i="1" s="1"/>
  <c r="D165" i="1"/>
  <c r="D223" i="1"/>
  <c r="J81" i="1"/>
  <c r="J82" i="1" s="1"/>
  <c r="J83" i="1" s="1"/>
  <c r="J84" i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D339" i="1"/>
  <c r="D252" i="1"/>
  <c r="B283" i="1"/>
  <c r="E281" i="1"/>
  <c r="C281" i="1"/>
  <c r="B254" i="1"/>
  <c r="B255" i="1"/>
  <c r="B256" i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F78" i="1" l="1"/>
  <c r="F49" i="1"/>
  <c r="K51" i="1" s="1"/>
  <c r="K279" i="1" s="1"/>
  <c r="E52" i="1"/>
  <c r="F52" i="1" s="1"/>
  <c r="E53" i="1" s="1"/>
  <c r="F53" i="1" s="1"/>
  <c r="E54" i="1" s="1"/>
  <c r="F54" i="1" s="1"/>
  <c r="F252" i="1"/>
  <c r="C51" i="1"/>
  <c r="C76" i="1" s="1"/>
  <c r="E283" i="1"/>
  <c r="J52" i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196" i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5" i="1" s="1"/>
  <c r="J167" i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D284" i="1"/>
  <c r="F107" i="1"/>
  <c r="F165" i="1"/>
  <c r="F136" i="1"/>
  <c r="F310" i="1"/>
  <c r="G51" i="1"/>
  <c r="F194" i="1"/>
  <c r="F339" i="1"/>
  <c r="F281" i="1"/>
  <c r="E134" i="1"/>
  <c r="E138" i="1" s="1"/>
  <c r="F138" i="1" s="1"/>
  <c r="D134" i="1"/>
  <c r="E286" i="1"/>
  <c r="F286" i="1" s="1"/>
  <c r="D285" i="1"/>
  <c r="H285" i="1" s="1"/>
  <c r="I285" i="1" s="1"/>
  <c r="H51" i="1"/>
  <c r="D52" i="1" l="1"/>
  <c r="H52" i="1" s="1"/>
  <c r="I52" i="1" s="1"/>
  <c r="C283" i="1"/>
  <c r="C308" i="1" s="1"/>
  <c r="D53" i="1"/>
  <c r="H53" i="1" s="1"/>
  <c r="I53" i="1" s="1"/>
  <c r="E55" i="1"/>
  <c r="F55" i="1" s="1"/>
  <c r="D54" i="1"/>
  <c r="G283" i="1"/>
  <c r="H284" i="1"/>
  <c r="I284" i="1" s="1"/>
  <c r="B76" i="1"/>
  <c r="B80" i="1" s="1"/>
  <c r="C80" i="1" s="1"/>
  <c r="C52" i="1"/>
  <c r="D138" i="1"/>
  <c r="H134" i="1"/>
  <c r="H138" i="1" s="1"/>
  <c r="K283" i="1"/>
  <c r="I51" i="1"/>
  <c r="I283" i="1" s="1"/>
  <c r="H283" i="1"/>
  <c r="E287" i="1"/>
  <c r="F287" i="1" s="1"/>
  <c r="D286" i="1"/>
  <c r="B308" i="1" l="1"/>
  <c r="B312" i="1" s="1"/>
  <c r="C312" i="1" s="1"/>
  <c r="C337" i="1" s="1"/>
  <c r="C284" i="1"/>
  <c r="B284" i="1" s="1"/>
  <c r="B17" i="1"/>
  <c r="N283" i="1" s="1"/>
  <c r="N51" i="1"/>
  <c r="C53" i="1"/>
  <c r="B52" i="1"/>
  <c r="H286" i="1"/>
  <c r="I286" i="1" s="1"/>
  <c r="E288" i="1"/>
  <c r="F288" i="1" s="1"/>
  <c r="D287" i="1"/>
  <c r="C105" i="1"/>
  <c r="B105" i="1" s="1"/>
  <c r="B109" i="1" s="1"/>
  <c r="C109" i="1" s="1"/>
  <c r="H54" i="1"/>
  <c r="I54" i="1" s="1"/>
  <c r="E56" i="1"/>
  <c r="F56" i="1" s="1"/>
  <c r="D55" i="1"/>
  <c r="C285" i="1" l="1"/>
  <c r="C81" i="1"/>
  <c r="B81" i="1" s="1"/>
  <c r="B337" i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C341" i="1"/>
  <c r="H55" i="1"/>
  <c r="I55" i="1" s="1"/>
  <c r="B285" i="1"/>
  <c r="C286" i="1"/>
  <c r="G52" i="1"/>
  <c r="N52" i="1" s="1"/>
  <c r="K52" i="1"/>
  <c r="E289" i="1"/>
  <c r="F289" i="1" s="1"/>
  <c r="D288" i="1"/>
  <c r="G284" i="1"/>
  <c r="N284" i="1" s="1"/>
  <c r="K284" i="1"/>
  <c r="E57" i="1"/>
  <c r="F57" i="1" s="1"/>
  <c r="D56" i="1"/>
  <c r="C82" i="1"/>
  <c r="C134" i="1"/>
  <c r="C110" i="1" s="1"/>
  <c r="C54" i="1"/>
  <c r="B53" i="1"/>
  <c r="H287" i="1"/>
  <c r="I287" i="1" s="1"/>
  <c r="C313" i="1"/>
  <c r="C111" i="1" l="1"/>
  <c r="B110" i="1"/>
  <c r="G285" i="1"/>
  <c r="N285" i="1" s="1"/>
  <c r="K285" i="1"/>
  <c r="C287" i="1"/>
  <c r="B286" i="1"/>
  <c r="K53" i="1"/>
  <c r="G53" i="1"/>
  <c r="N53" i="1" s="1"/>
  <c r="H288" i="1"/>
  <c r="I288" i="1" s="1"/>
  <c r="E290" i="1"/>
  <c r="F290" i="1" s="1"/>
  <c r="D289" i="1"/>
  <c r="B313" i="1"/>
  <c r="C314" i="1"/>
  <c r="C366" i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H56" i="1"/>
  <c r="I56" i="1" s="1"/>
  <c r="E58" i="1"/>
  <c r="F58" i="1" s="1"/>
  <c r="D57" i="1"/>
  <c r="C55" i="1"/>
  <c r="B54" i="1"/>
  <c r="C138" i="1"/>
  <c r="B134" i="1"/>
  <c r="C83" i="1"/>
  <c r="B82" i="1"/>
  <c r="E59" i="1" l="1"/>
  <c r="F59" i="1" s="1"/>
  <c r="D58" i="1"/>
  <c r="H289" i="1"/>
  <c r="I289" i="1" s="1"/>
  <c r="B287" i="1"/>
  <c r="C288" i="1"/>
  <c r="H57" i="1"/>
  <c r="I57" i="1" s="1"/>
  <c r="K286" i="1"/>
  <c r="G286" i="1"/>
  <c r="N286" i="1" s="1"/>
  <c r="E291" i="1"/>
  <c r="F291" i="1" s="1"/>
  <c r="D290" i="1"/>
  <c r="C84" i="1"/>
  <c r="B83" i="1"/>
  <c r="B138" i="1"/>
  <c r="K134" i="1"/>
  <c r="G134" i="1"/>
  <c r="G54" i="1"/>
  <c r="N54" i="1" s="1"/>
  <c r="K54" i="1"/>
  <c r="C56" i="1"/>
  <c r="B55" i="1"/>
  <c r="C315" i="1"/>
  <c r="B314" i="1"/>
  <c r="C112" i="1"/>
  <c r="B111" i="1"/>
  <c r="B288" i="1" l="1"/>
  <c r="C289" i="1"/>
  <c r="H290" i="1"/>
  <c r="I290" i="1" s="1"/>
  <c r="K287" i="1"/>
  <c r="G287" i="1"/>
  <c r="N287" i="1" s="1"/>
  <c r="E292" i="1"/>
  <c r="F292" i="1" s="1"/>
  <c r="D291" i="1"/>
  <c r="B112" i="1"/>
  <c r="C113" i="1"/>
  <c r="C316" i="1"/>
  <c r="B315" i="1"/>
  <c r="K138" i="1"/>
  <c r="G138" i="1"/>
  <c r="E60" i="1"/>
  <c r="F60" i="1" s="1"/>
  <c r="D59" i="1"/>
  <c r="C85" i="1"/>
  <c r="B84" i="1"/>
  <c r="H58" i="1"/>
  <c r="I58" i="1" s="1"/>
  <c r="K55" i="1"/>
  <c r="G55" i="1"/>
  <c r="N55" i="1" s="1"/>
  <c r="C57" i="1"/>
  <c r="B56" i="1"/>
  <c r="E293" i="1" l="1"/>
  <c r="F293" i="1" s="1"/>
  <c r="D292" i="1"/>
  <c r="K56" i="1"/>
  <c r="G56" i="1"/>
  <c r="N56" i="1" s="1"/>
  <c r="C317" i="1"/>
  <c r="B316" i="1"/>
  <c r="B57" i="1"/>
  <c r="C58" i="1"/>
  <c r="C86" i="1"/>
  <c r="B85" i="1"/>
  <c r="B113" i="1"/>
  <c r="C114" i="1"/>
  <c r="H59" i="1"/>
  <c r="I59" i="1" s="1"/>
  <c r="B289" i="1"/>
  <c r="C290" i="1"/>
  <c r="E61" i="1"/>
  <c r="F61" i="1" s="1"/>
  <c r="D60" i="1"/>
  <c r="H291" i="1"/>
  <c r="I291" i="1" s="1"/>
  <c r="K288" i="1"/>
  <c r="G288" i="1"/>
  <c r="N288" i="1" s="1"/>
  <c r="B114" i="1" l="1"/>
  <c r="C115" i="1"/>
  <c r="G57" i="1"/>
  <c r="N57" i="1" s="1"/>
  <c r="K57" i="1"/>
  <c r="B317" i="1"/>
  <c r="C318" i="1"/>
  <c r="H60" i="1"/>
  <c r="I60" i="1" s="1"/>
  <c r="E62" i="1"/>
  <c r="F62" i="1" s="1"/>
  <c r="D61" i="1"/>
  <c r="H292" i="1"/>
  <c r="I292" i="1" s="1"/>
  <c r="C291" i="1"/>
  <c r="B290" i="1"/>
  <c r="C87" i="1"/>
  <c r="B86" i="1"/>
  <c r="E294" i="1"/>
  <c r="F294" i="1" s="1"/>
  <c r="D293" i="1"/>
  <c r="K289" i="1"/>
  <c r="G289" i="1"/>
  <c r="N289" i="1" s="1"/>
  <c r="B58" i="1"/>
  <c r="C59" i="1"/>
  <c r="G58" i="1" l="1"/>
  <c r="N58" i="1" s="1"/>
  <c r="K58" i="1"/>
  <c r="E295" i="1"/>
  <c r="F295" i="1" s="1"/>
  <c r="D294" i="1"/>
  <c r="B59" i="1"/>
  <c r="C60" i="1"/>
  <c r="C319" i="1"/>
  <c r="B318" i="1"/>
  <c r="C116" i="1"/>
  <c r="B115" i="1"/>
  <c r="G290" i="1"/>
  <c r="N290" i="1" s="1"/>
  <c r="K290" i="1"/>
  <c r="C292" i="1"/>
  <c r="B291" i="1"/>
  <c r="H293" i="1"/>
  <c r="I293" i="1" s="1"/>
  <c r="H61" i="1"/>
  <c r="I61" i="1" s="1"/>
  <c r="E63" i="1"/>
  <c r="F63" i="1" s="1"/>
  <c r="D62" i="1"/>
  <c r="C88" i="1"/>
  <c r="B87" i="1"/>
  <c r="C61" i="1" l="1"/>
  <c r="B60" i="1"/>
  <c r="C89" i="1"/>
  <c r="B88" i="1"/>
  <c r="C320" i="1"/>
  <c r="B319" i="1"/>
  <c r="H62" i="1"/>
  <c r="I62" i="1" s="1"/>
  <c r="G291" i="1"/>
  <c r="N291" i="1" s="1"/>
  <c r="K291" i="1"/>
  <c r="E64" i="1"/>
  <c r="F64" i="1" s="1"/>
  <c r="D63" i="1"/>
  <c r="C293" i="1"/>
  <c r="B292" i="1"/>
  <c r="G59" i="1"/>
  <c r="N59" i="1" s="1"/>
  <c r="K59" i="1"/>
  <c r="H294" i="1"/>
  <c r="I294" i="1" s="1"/>
  <c r="E296" i="1"/>
  <c r="F296" i="1" s="1"/>
  <c r="D295" i="1"/>
  <c r="C117" i="1"/>
  <c r="B116" i="1"/>
  <c r="C118" i="1" l="1"/>
  <c r="B117" i="1"/>
  <c r="H295" i="1"/>
  <c r="I295" i="1" s="1"/>
  <c r="E65" i="1"/>
  <c r="F65" i="1" s="1"/>
  <c r="D64" i="1"/>
  <c r="G292" i="1"/>
  <c r="N292" i="1" s="1"/>
  <c r="K292" i="1"/>
  <c r="C294" i="1"/>
  <c r="B293" i="1"/>
  <c r="E297" i="1"/>
  <c r="F297" i="1" s="1"/>
  <c r="D296" i="1"/>
  <c r="H63" i="1"/>
  <c r="I63" i="1" s="1"/>
  <c r="C321" i="1"/>
  <c r="B320" i="1"/>
  <c r="B89" i="1"/>
  <c r="C90" i="1"/>
  <c r="G60" i="1"/>
  <c r="N60" i="1" s="1"/>
  <c r="K60" i="1"/>
  <c r="C62" i="1"/>
  <c r="B61" i="1"/>
  <c r="G61" i="1" l="1"/>
  <c r="N61" i="1" s="1"/>
  <c r="K61" i="1"/>
  <c r="C63" i="1"/>
  <c r="B62" i="1"/>
  <c r="H64" i="1"/>
  <c r="I64" i="1" s="1"/>
  <c r="E66" i="1"/>
  <c r="F66" i="1" s="1"/>
  <c r="D65" i="1"/>
  <c r="H296" i="1"/>
  <c r="I296" i="1" s="1"/>
  <c r="C91" i="1"/>
  <c r="B90" i="1"/>
  <c r="E298" i="1"/>
  <c r="F298" i="1" s="1"/>
  <c r="D297" i="1"/>
  <c r="K293" i="1"/>
  <c r="G293" i="1"/>
  <c r="N293" i="1" s="1"/>
  <c r="C295" i="1"/>
  <c r="B294" i="1"/>
  <c r="B321" i="1"/>
  <c r="C322" i="1"/>
  <c r="C119" i="1"/>
  <c r="B118" i="1"/>
  <c r="H297" i="1" l="1"/>
  <c r="I297" i="1" s="1"/>
  <c r="E67" i="1"/>
  <c r="F67" i="1" s="1"/>
  <c r="D66" i="1"/>
  <c r="C120" i="1"/>
  <c r="B119" i="1"/>
  <c r="E299" i="1"/>
  <c r="F299" i="1" s="1"/>
  <c r="D298" i="1"/>
  <c r="C323" i="1"/>
  <c r="B322" i="1"/>
  <c r="C92" i="1"/>
  <c r="B91" i="1"/>
  <c r="G294" i="1"/>
  <c r="N294" i="1" s="1"/>
  <c r="K294" i="1"/>
  <c r="K62" i="1"/>
  <c r="G62" i="1"/>
  <c r="N62" i="1" s="1"/>
  <c r="C296" i="1"/>
  <c r="B295" i="1"/>
  <c r="C64" i="1"/>
  <c r="B63" i="1"/>
  <c r="H65" i="1"/>
  <c r="I65" i="1" s="1"/>
  <c r="E300" i="1" l="1"/>
  <c r="F300" i="1" s="1"/>
  <c r="D299" i="1"/>
  <c r="G63" i="1"/>
  <c r="N63" i="1" s="1"/>
  <c r="K63" i="1"/>
  <c r="C65" i="1"/>
  <c r="B64" i="1"/>
  <c r="C93" i="1"/>
  <c r="B92" i="1"/>
  <c r="G295" i="1"/>
  <c r="N295" i="1" s="1"/>
  <c r="K295" i="1"/>
  <c r="C324" i="1"/>
  <c r="B323" i="1"/>
  <c r="C121" i="1"/>
  <c r="B120" i="1"/>
  <c r="H66" i="1"/>
  <c r="I66" i="1" s="1"/>
  <c r="E68" i="1"/>
  <c r="F68" i="1" s="1"/>
  <c r="D67" i="1"/>
  <c r="B296" i="1"/>
  <c r="C297" i="1"/>
  <c r="H298" i="1"/>
  <c r="I298" i="1" s="1"/>
  <c r="B93" i="1" l="1"/>
  <c r="C94" i="1"/>
  <c r="G64" i="1"/>
  <c r="N64" i="1" s="1"/>
  <c r="K64" i="1"/>
  <c r="B297" i="1"/>
  <c r="C298" i="1"/>
  <c r="B121" i="1"/>
  <c r="C122" i="1"/>
  <c r="C66" i="1"/>
  <c r="B65" i="1"/>
  <c r="G296" i="1"/>
  <c r="N296" i="1" s="1"/>
  <c r="K296" i="1"/>
  <c r="H67" i="1"/>
  <c r="I67" i="1" s="1"/>
  <c r="C325" i="1"/>
  <c r="B324" i="1"/>
  <c r="E69" i="1"/>
  <c r="F69" i="1" s="1"/>
  <c r="D68" i="1"/>
  <c r="H299" i="1"/>
  <c r="I299" i="1" s="1"/>
  <c r="D300" i="1"/>
  <c r="E301" i="1"/>
  <c r="F301" i="1" s="1"/>
  <c r="E302" i="1" l="1"/>
  <c r="F302" i="1" s="1"/>
  <c r="D301" i="1"/>
  <c r="C326" i="1"/>
  <c r="B325" i="1"/>
  <c r="B122" i="1"/>
  <c r="C123" i="1"/>
  <c r="H300" i="1"/>
  <c r="I300" i="1" s="1"/>
  <c r="C299" i="1"/>
  <c r="B298" i="1"/>
  <c r="G297" i="1"/>
  <c r="N297" i="1" s="1"/>
  <c r="K297" i="1"/>
  <c r="H68" i="1"/>
  <c r="I68" i="1" s="1"/>
  <c r="E70" i="1"/>
  <c r="F70" i="1" s="1"/>
  <c r="D69" i="1"/>
  <c r="G65" i="1"/>
  <c r="N65" i="1" s="1"/>
  <c r="K65" i="1"/>
  <c r="C95" i="1"/>
  <c r="B94" i="1"/>
  <c r="B66" i="1"/>
  <c r="C67" i="1"/>
  <c r="K66" i="1" l="1"/>
  <c r="G66" i="1"/>
  <c r="N66" i="1" s="1"/>
  <c r="C96" i="1"/>
  <c r="B95" i="1"/>
  <c r="B67" i="1"/>
  <c r="C68" i="1"/>
  <c r="G298" i="1"/>
  <c r="N298" i="1" s="1"/>
  <c r="K298" i="1"/>
  <c r="C327" i="1"/>
  <c r="B326" i="1"/>
  <c r="H301" i="1"/>
  <c r="I301" i="1" s="1"/>
  <c r="B123" i="1"/>
  <c r="C124" i="1"/>
  <c r="H69" i="1"/>
  <c r="I69" i="1" s="1"/>
  <c r="C300" i="1"/>
  <c r="B299" i="1"/>
  <c r="E71" i="1"/>
  <c r="F71" i="1" s="1"/>
  <c r="D70" i="1"/>
  <c r="E303" i="1"/>
  <c r="F303" i="1" s="1"/>
  <c r="D302" i="1"/>
  <c r="H302" i="1" l="1"/>
  <c r="I302" i="1" s="1"/>
  <c r="E304" i="1"/>
  <c r="F304" i="1" s="1"/>
  <c r="D303" i="1"/>
  <c r="E72" i="1"/>
  <c r="F72" i="1" s="1"/>
  <c r="D71" i="1"/>
  <c r="C125" i="1"/>
  <c r="B124" i="1"/>
  <c r="H70" i="1"/>
  <c r="I70" i="1" s="1"/>
  <c r="B68" i="1"/>
  <c r="C69" i="1"/>
  <c r="G67" i="1"/>
  <c r="N67" i="1" s="1"/>
  <c r="K67" i="1"/>
  <c r="G299" i="1"/>
  <c r="N299" i="1" s="1"/>
  <c r="K299" i="1"/>
  <c r="C301" i="1"/>
  <c r="B300" i="1"/>
  <c r="C97" i="1"/>
  <c r="B96" i="1"/>
  <c r="C328" i="1"/>
  <c r="B327" i="1"/>
  <c r="C126" i="1" l="1"/>
  <c r="B125" i="1"/>
  <c r="H71" i="1"/>
  <c r="I71" i="1" s="1"/>
  <c r="B69" i="1"/>
  <c r="C70" i="1"/>
  <c r="C98" i="1"/>
  <c r="B97" i="1"/>
  <c r="H303" i="1"/>
  <c r="I303" i="1" s="1"/>
  <c r="E305" i="1"/>
  <c r="F305" i="1" s="1"/>
  <c r="D304" i="1"/>
  <c r="C329" i="1"/>
  <c r="B328" i="1"/>
  <c r="E73" i="1"/>
  <c r="F73" i="1" s="1"/>
  <c r="D72" i="1"/>
  <c r="K68" i="1"/>
  <c r="G68" i="1"/>
  <c r="N68" i="1" s="1"/>
  <c r="K300" i="1"/>
  <c r="G300" i="1"/>
  <c r="N300" i="1" s="1"/>
  <c r="C302" i="1"/>
  <c r="B301" i="1"/>
  <c r="C99" i="1" l="1"/>
  <c r="B98" i="1"/>
  <c r="C303" i="1"/>
  <c r="B302" i="1"/>
  <c r="G301" i="1"/>
  <c r="N301" i="1" s="1"/>
  <c r="K301" i="1"/>
  <c r="B329" i="1"/>
  <c r="C330" i="1"/>
  <c r="C71" i="1"/>
  <c r="B70" i="1"/>
  <c r="H304" i="1"/>
  <c r="I304" i="1" s="1"/>
  <c r="G69" i="1"/>
  <c r="N69" i="1" s="1"/>
  <c r="K69" i="1"/>
  <c r="E306" i="1"/>
  <c r="F306" i="1" s="1"/>
  <c r="D305" i="1"/>
  <c r="H72" i="1"/>
  <c r="I72" i="1" s="1"/>
  <c r="E74" i="1"/>
  <c r="F74" i="1" s="1"/>
  <c r="D73" i="1"/>
  <c r="C127" i="1"/>
  <c r="B126" i="1"/>
  <c r="C331" i="1" l="1"/>
  <c r="B330" i="1"/>
  <c r="C128" i="1"/>
  <c r="B127" i="1"/>
  <c r="E75" i="1"/>
  <c r="F75" i="1" s="1"/>
  <c r="D74" i="1"/>
  <c r="C304" i="1"/>
  <c r="B303" i="1"/>
  <c r="G70" i="1"/>
  <c r="N70" i="1" s="1"/>
  <c r="K70" i="1"/>
  <c r="E307" i="1"/>
  <c r="F307" i="1" s="1"/>
  <c r="D306" i="1"/>
  <c r="H73" i="1"/>
  <c r="I73" i="1" s="1"/>
  <c r="G302" i="1"/>
  <c r="N302" i="1" s="1"/>
  <c r="K302" i="1"/>
  <c r="H305" i="1"/>
  <c r="I305" i="1" s="1"/>
  <c r="C72" i="1"/>
  <c r="B71" i="1"/>
  <c r="C100" i="1"/>
  <c r="B99" i="1"/>
  <c r="B304" i="1" l="1"/>
  <c r="C305" i="1"/>
  <c r="C73" i="1"/>
  <c r="B72" i="1"/>
  <c r="H306" i="1"/>
  <c r="I306" i="1" s="1"/>
  <c r="G303" i="1"/>
  <c r="N303" i="1" s="1"/>
  <c r="K303" i="1"/>
  <c r="C101" i="1"/>
  <c r="B100" i="1"/>
  <c r="G71" i="1"/>
  <c r="N71" i="1" s="1"/>
  <c r="K71" i="1"/>
  <c r="H74" i="1"/>
  <c r="I74" i="1" s="1"/>
  <c r="E76" i="1"/>
  <c r="F76" i="1" s="1"/>
  <c r="D76" i="1" s="1"/>
  <c r="D75" i="1"/>
  <c r="E308" i="1"/>
  <c r="F308" i="1" s="1"/>
  <c r="D308" i="1" s="1"/>
  <c r="D307" i="1"/>
  <c r="C129" i="1"/>
  <c r="B128" i="1"/>
  <c r="C332" i="1"/>
  <c r="B331" i="1"/>
  <c r="H307" i="1" l="1"/>
  <c r="I307" i="1" s="1"/>
  <c r="K72" i="1"/>
  <c r="G72" i="1"/>
  <c r="N72" i="1" s="1"/>
  <c r="C74" i="1"/>
  <c r="B73" i="1"/>
  <c r="H75" i="1"/>
  <c r="I75" i="1" s="1"/>
  <c r="C102" i="1"/>
  <c r="B101" i="1"/>
  <c r="B305" i="1"/>
  <c r="C306" i="1"/>
  <c r="C333" i="1"/>
  <c r="B332" i="1"/>
  <c r="B129" i="1"/>
  <c r="C130" i="1"/>
  <c r="D312" i="1"/>
  <c r="H308" i="1"/>
  <c r="I308" i="1" s="1"/>
  <c r="G308" i="1"/>
  <c r="K308" i="1"/>
  <c r="D80" i="1"/>
  <c r="H76" i="1"/>
  <c r="I76" i="1" s="1"/>
  <c r="K76" i="1"/>
  <c r="G76" i="1"/>
  <c r="C13" i="1"/>
  <c r="G304" i="1"/>
  <c r="N304" i="1" s="1"/>
  <c r="K304" i="1"/>
  <c r="N76" i="1" l="1"/>
  <c r="N308" i="1"/>
  <c r="E80" i="1"/>
  <c r="F80" i="1" s="1"/>
  <c r="E81" i="1" s="1"/>
  <c r="K80" i="1"/>
  <c r="H80" i="1"/>
  <c r="I80" i="1" s="1"/>
  <c r="G80" i="1"/>
  <c r="N80" i="1" s="1"/>
  <c r="B333" i="1"/>
  <c r="C334" i="1"/>
  <c r="B74" i="1"/>
  <c r="C75" i="1"/>
  <c r="B75" i="1" s="1"/>
  <c r="G305" i="1"/>
  <c r="N305" i="1" s="1"/>
  <c r="K305" i="1"/>
  <c r="E312" i="1"/>
  <c r="F312" i="1" s="1"/>
  <c r="E313" i="1" s="1"/>
  <c r="G312" i="1"/>
  <c r="H312" i="1"/>
  <c r="I312" i="1" s="1"/>
  <c r="K312" i="1"/>
  <c r="G73" i="1"/>
  <c r="N73" i="1" s="1"/>
  <c r="K73" i="1"/>
  <c r="B306" i="1"/>
  <c r="C307" i="1"/>
  <c r="B307" i="1" s="1"/>
  <c r="C103" i="1"/>
  <c r="B102" i="1"/>
  <c r="B130" i="1"/>
  <c r="C131" i="1"/>
  <c r="B131" i="1" l="1"/>
  <c r="C132" i="1"/>
  <c r="G74" i="1"/>
  <c r="N74" i="1" s="1"/>
  <c r="K74" i="1"/>
  <c r="C335" i="1"/>
  <c r="B334" i="1"/>
  <c r="C104" i="1"/>
  <c r="B104" i="1" s="1"/>
  <c r="B103" i="1"/>
  <c r="N312" i="1"/>
  <c r="F313" i="1"/>
  <c r="M313" i="1"/>
  <c r="G307" i="1"/>
  <c r="N307" i="1" s="1"/>
  <c r="K307" i="1"/>
  <c r="G306" i="1"/>
  <c r="N306" i="1" s="1"/>
  <c r="K306" i="1"/>
  <c r="K75" i="1"/>
  <c r="G75" i="1"/>
  <c r="N75" i="1" s="1"/>
  <c r="F81" i="1"/>
  <c r="M81" i="1"/>
  <c r="C336" i="1" l="1"/>
  <c r="B336" i="1" s="1"/>
  <c r="B335" i="1"/>
  <c r="B132" i="1"/>
  <c r="C133" i="1"/>
  <c r="B133" i="1" s="1"/>
  <c r="D81" i="1"/>
  <c r="E82" i="1"/>
  <c r="E314" i="1"/>
  <c r="D313" i="1"/>
  <c r="F82" i="1" l="1"/>
  <c r="M82" i="1"/>
  <c r="G313" i="1"/>
  <c r="H313" i="1"/>
  <c r="I313" i="1" s="1"/>
  <c r="K313" i="1"/>
  <c r="K81" i="1"/>
  <c r="G81" i="1"/>
  <c r="H81" i="1"/>
  <c r="I81" i="1" s="1"/>
  <c r="F314" i="1"/>
  <c r="M314" i="1"/>
  <c r="N81" i="1" l="1"/>
  <c r="E315" i="1"/>
  <c r="D314" i="1"/>
  <c r="N313" i="1"/>
  <c r="E83" i="1"/>
  <c r="D82" i="1"/>
  <c r="H82" i="1" l="1"/>
  <c r="I82" i="1" s="1"/>
  <c r="G82" i="1"/>
  <c r="K82" i="1"/>
  <c r="F83" i="1"/>
  <c r="M83" i="1"/>
  <c r="H314" i="1"/>
  <c r="I314" i="1" s="1"/>
  <c r="G314" i="1"/>
  <c r="K314" i="1"/>
  <c r="F315" i="1"/>
  <c r="M315" i="1"/>
  <c r="N314" i="1" l="1"/>
  <c r="N82" i="1"/>
  <c r="D83" i="1"/>
  <c r="E84" i="1"/>
  <c r="E316" i="1"/>
  <c r="D315" i="1"/>
  <c r="H315" i="1" l="1"/>
  <c r="I315" i="1" s="1"/>
  <c r="G315" i="1"/>
  <c r="K315" i="1"/>
  <c r="F316" i="1"/>
  <c r="M316" i="1"/>
  <c r="F84" i="1"/>
  <c r="M84" i="1"/>
  <c r="H83" i="1"/>
  <c r="I83" i="1" s="1"/>
  <c r="K83" i="1"/>
  <c r="G83" i="1"/>
  <c r="N315" i="1" l="1"/>
  <c r="N83" i="1"/>
  <c r="E85" i="1"/>
  <c r="D84" i="1"/>
  <c r="E317" i="1"/>
  <c r="D316" i="1"/>
  <c r="G316" i="1" l="1"/>
  <c r="H316" i="1"/>
  <c r="I316" i="1" s="1"/>
  <c r="K316" i="1"/>
  <c r="F317" i="1"/>
  <c r="M317" i="1"/>
  <c r="G84" i="1"/>
  <c r="H84" i="1"/>
  <c r="I84" i="1" s="1"/>
  <c r="K84" i="1"/>
  <c r="F85" i="1"/>
  <c r="M85" i="1"/>
  <c r="N84" i="1" l="1"/>
  <c r="E318" i="1"/>
  <c r="D317" i="1"/>
  <c r="E86" i="1"/>
  <c r="D85" i="1"/>
  <c r="N316" i="1"/>
  <c r="K85" i="1" l="1"/>
  <c r="H85" i="1"/>
  <c r="I85" i="1" s="1"/>
  <c r="G85" i="1"/>
  <c r="F86" i="1"/>
  <c r="M86" i="1"/>
  <c r="H317" i="1"/>
  <c r="I317" i="1" s="1"/>
  <c r="G317" i="1"/>
  <c r="K317" i="1"/>
  <c r="F318" i="1"/>
  <c r="M318" i="1"/>
  <c r="N85" i="1" l="1"/>
  <c r="N317" i="1"/>
  <c r="E87" i="1"/>
  <c r="D86" i="1"/>
  <c r="D318" i="1"/>
  <c r="E319" i="1"/>
  <c r="F319" i="1" l="1"/>
  <c r="M319" i="1"/>
  <c r="H318" i="1"/>
  <c r="I318" i="1" s="1"/>
  <c r="G318" i="1"/>
  <c r="K318" i="1"/>
  <c r="H86" i="1"/>
  <c r="I86" i="1" s="1"/>
  <c r="G86" i="1"/>
  <c r="K86" i="1"/>
  <c r="F87" i="1"/>
  <c r="M87" i="1"/>
  <c r="N86" i="1" l="1"/>
  <c r="N318" i="1"/>
  <c r="E88" i="1"/>
  <c r="D87" i="1"/>
  <c r="E320" i="1"/>
  <c r="D319" i="1"/>
  <c r="H319" i="1" l="1"/>
  <c r="I319" i="1" s="1"/>
  <c r="G319" i="1"/>
  <c r="K319" i="1"/>
  <c r="H87" i="1"/>
  <c r="I87" i="1" s="1"/>
  <c r="K87" i="1"/>
  <c r="G87" i="1"/>
  <c r="F320" i="1"/>
  <c r="M320" i="1"/>
  <c r="F88" i="1"/>
  <c r="M88" i="1"/>
  <c r="N319" i="1" l="1"/>
  <c r="N87" i="1"/>
  <c r="E321" i="1"/>
  <c r="D320" i="1"/>
  <c r="E89" i="1"/>
  <c r="D88" i="1"/>
  <c r="K88" i="1" l="1"/>
  <c r="H88" i="1"/>
  <c r="I88" i="1" s="1"/>
  <c r="G88" i="1"/>
  <c r="F89" i="1"/>
  <c r="M89" i="1"/>
  <c r="H320" i="1"/>
  <c r="I320" i="1" s="1"/>
  <c r="G320" i="1"/>
  <c r="K320" i="1"/>
  <c r="F321" i="1"/>
  <c r="M321" i="1"/>
  <c r="N88" i="1" l="1"/>
  <c r="N320" i="1"/>
  <c r="E90" i="1"/>
  <c r="D89" i="1"/>
  <c r="E322" i="1"/>
  <c r="D321" i="1"/>
  <c r="H321" i="1" l="1"/>
  <c r="I321" i="1" s="1"/>
  <c r="G321" i="1"/>
  <c r="K321" i="1"/>
  <c r="F322" i="1"/>
  <c r="M322" i="1"/>
  <c r="K89" i="1"/>
  <c r="H89" i="1"/>
  <c r="I89" i="1" s="1"/>
  <c r="G89" i="1"/>
  <c r="F90" i="1"/>
  <c r="M90" i="1"/>
  <c r="N321" i="1" l="1"/>
  <c r="N89" i="1"/>
  <c r="E323" i="1"/>
  <c r="D322" i="1"/>
  <c r="E91" i="1"/>
  <c r="D90" i="1"/>
  <c r="H90" i="1" l="1"/>
  <c r="I90" i="1" s="1"/>
  <c r="K90" i="1"/>
  <c r="G90" i="1"/>
  <c r="N90" i="1" s="1"/>
  <c r="F91" i="1"/>
  <c r="M91" i="1"/>
  <c r="H322" i="1"/>
  <c r="I322" i="1" s="1"/>
  <c r="G322" i="1"/>
  <c r="K322" i="1"/>
  <c r="F323" i="1"/>
  <c r="M323" i="1"/>
  <c r="N322" i="1" l="1"/>
  <c r="E92" i="1"/>
  <c r="D91" i="1"/>
  <c r="E324" i="1"/>
  <c r="D323" i="1"/>
  <c r="H323" i="1" l="1"/>
  <c r="I323" i="1" s="1"/>
  <c r="G323" i="1"/>
  <c r="K323" i="1"/>
  <c r="F324" i="1"/>
  <c r="M324" i="1"/>
  <c r="H91" i="1"/>
  <c r="I91" i="1" s="1"/>
  <c r="G91" i="1"/>
  <c r="K91" i="1"/>
  <c r="F92" i="1"/>
  <c r="M92" i="1"/>
  <c r="N323" i="1" l="1"/>
  <c r="N91" i="1"/>
  <c r="D324" i="1"/>
  <c r="E325" i="1"/>
  <c r="E93" i="1"/>
  <c r="D92" i="1"/>
  <c r="F325" i="1" l="1"/>
  <c r="M325" i="1"/>
  <c r="G92" i="1"/>
  <c r="H92" i="1"/>
  <c r="I92" i="1" s="1"/>
  <c r="K92" i="1"/>
  <c r="F93" i="1"/>
  <c r="M93" i="1"/>
  <c r="H324" i="1"/>
  <c r="I324" i="1" s="1"/>
  <c r="G324" i="1"/>
  <c r="K324" i="1"/>
  <c r="E94" i="1" l="1"/>
  <c r="D93" i="1"/>
  <c r="N92" i="1"/>
  <c r="N324" i="1"/>
  <c r="E326" i="1"/>
  <c r="D325" i="1"/>
  <c r="H325" i="1" l="1"/>
  <c r="I325" i="1" s="1"/>
  <c r="G325" i="1"/>
  <c r="K325" i="1"/>
  <c r="F326" i="1"/>
  <c r="M326" i="1"/>
  <c r="H93" i="1"/>
  <c r="I93" i="1" s="1"/>
  <c r="K93" i="1"/>
  <c r="G93" i="1"/>
  <c r="F94" i="1"/>
  <c r="M94" i="1"/>
  <c r="N325" i="1" l="1"/>
  <c r="N93" i="1"/>
  <c r="E327" i="1"/>
  <c r="D326" i="1"/>
  <c r="E95" i="1"/>
  <c r="D94" i="1"/>
  <c r="H94" i="1" l="1"/>
  <c r="I94" i="1" s="1"/>
  <c r="G94" i="1"/>
  <c r="K94" i="1"/>
  <c r="F95" i="1"/>
  <c r="M95" i="1"/>
  <c r="H326" i="1"/>
  <c r="I326" i="1" s="1"/>
  <c r="G326" i="1"/>
  <c r="K326" i="1"/>
  <c r="F327" i="1"/>
  <c r="M327" i="1"/>
  <c r="N94" i="1" l="1"/>
  <c r="N326" i="1"/>
  <c r="E96" i="1"/>
  <c r="D95" i="1"/>
  <c r="E328" i="1"/>
  <c r="D327" i="1"/>
  <c r="H327" i="1" l="1"/>
  <c r="I327" i="1" s="1"/>
  <c r="G327" i="1"/>
  <c r="K327" i="1"/>
  <c r="F328" i="1"/>
  <c r="M328" i="1"/>
  <c r="K95" i="1"/>
  <c r="H95" i="1"/>
  <c r="I95" i="1" s="1"/>
  <c r="G95" i="1"/>
  <c r="F96" i="1"/>
  <c r="M96" i="1"/>
  <c r="N327" i="1" l="1"/>
  <c r="N95" i="1"/>
  <c r="D328" i="1"/>
  <c r="E329" i="1"/>
  <c r="E97" i="1"/>
  <c r="D96" i="1"/>
  <c r="H96" i="1" l="1"/>
  <c r="I96" i="1" s="1"/>
  <c r="G96" i="1"/>
  <c r="K96" i="1"/>
  <c r="F97" i="1"/>
  <c r="M97" i="1"/>
  <c r="F329" i="1"/>
  <c r="M329" i="1"/>
  <c r="H328" i="1"/>
  <c r="I328" i="1" s="1"/>
  <c r="G328" i="1"/>
  <c r="K328" i="1"/>
  <c r="N96" i="1" l="1"/>
  <c r="E330" i="1"/>
  <c r="D329" i="1"/>
  <c r="D97" i="1"/>
  <c r="E98" i="1"/>
  <c r="N328" i="1"/>
  <c r="F98" i="1" l="1"/>
  <c r="M98" i="1"/>
  <c r="K97" i="1"/>
  <c r="H97" i="1"/>
  <c r="I97" i="1" s="1"/>
  <c r="G97" i="1"/>
  <c r="H329" i="1"/>
  <c r="I329" i="1" s="1"/>
  <c r="G329" i="1"/>
  <c r="K329" i="1"/>
  <c r="F330" i="1"/>
  <c r="M330" i="1"/>
  <c r="N329" i="1" l="1"/>
  <c r="N97" i="1"/>
  <c r="D330" i="1"/>
  <c r="E331" i="1"/>
  <c r="E99" i="1"/>
  <c r="D98" i="1"/>
  <c r="H98" i="1" l="1"/>
  <c r="I98" i="1" s="1"/>
  <c r="K98" i="1"/>
  <c r="G98" i="1"/>
  <c r="F99" i="1"/>
  <c r="M99" i="1"/>
  <c r="F331" i="1"/>
  <c r="M331" i="1"/>
  <c r="H330" i="1"/>
  <c r="I330" i="1" s="1"/>
  <c r="G330" i="1"/>
  <c r="K330" i="1"/>
  <c r="N98" i="1" l="1"/>
  <c r="E332" i="1"/>
  <c r="D331" i="1"/>
  <c r="E100" i="1"/>
  <c r="D99" i="1"/>
  <c r="N330" i="1"/>
  <c r="H99" i="1" l="1"/>
  <c r="I99" i="1" s="1"/>
  <c r="K99" i="1"/>
  <c r="G99" i="1"/>
  <c r="H331" i="1"/>
  <c r="I331" i="1" s="1"/>
  <c r="G331" i="1"/>
  <c r="K331" i="1"/>
  <c r="F100" i="1"/>
  <c r="M100" i="1"/>
  <c r="F332" i="1"/>
  <c r="M332" i="1"/>
  <c r="N99" i="1" l="1"/>
  <c r="E101" i="1"/>
  <c r="D100" i="1"/>
  <c r="N331" i="1"/>
  <c r="E333" i="1"/>
  <c r="D332" i="1"/>
  <c r="H332" i="1" l="1"/>
  <c r="I332" i="1" s="1"/>
  <c r="G332" i="1"/>
  <c r="K332" i="1"/>
  <c r="F333" i="1"/>
  <c r="M333" i="1"/>
  <c r="G100" i="1"/>
  <c r="H100" i="1"/>
  <c r="I100" i="1" s="1"/>
  <c r="K100" i="1"/>
  <c r="F101" i="1"/>
  <c r="M101" i="1"/>
  <c r="N332" i="1" l="1"/>
  <c r="N100" i="1"/>
  <c r="E334" i="1"/>
  <c r="D333" i="1"/>
  <c r="E102" i="1"/>
  <c r="D101" i="1"/>
  <c r="H101" i="1" l="1"/>
  <c r="I101" i="1" s="1"/>
  <c r="G101" i="1"/>
  <c r="N101" i="1" s="1"/>
  <c r="K101" i="1"/>
  <c r="F102" i="1"/>
  <c r="M102" i="1"/>
  <c r="H333" i="1"/>
  <c r="I333" i="1" s="1"/>
  <c r="G333" i="1"/>
  <c r="K333" i="1"/>
  <c r="F334" i="1"/>
  <c r="M334" i="1"/>
  <c r="N333" i="1" l="1"/>
  <c r="E103" i="1"/>
  <c r="D102" i="1"/>
  <c r="E335" i="1"/>
  <c r="D334" i="1"/>
  <c r="H334" i="1" l="1"/>
  <c r="I334" i="1" s="1"/>
  <c r="G334" i="1"/>
  <c r="K334" i="1"/>
  <c r="F335" i="1"/>
  <c r="M335" i="1"/>
  <c r="H102" i="1"/>
  <c r="I102" i="1" s="1"/>
  <c r="G102" i="1"/>
  <c r="K102" i="1"/>
  <c r="F103" i="1"/>
  <c r="M103" i="1"/>
  <c r="N334" i="1" l="1"/>
  <c r="N102" i="1"/>
  <c r="E336" i="1"/>
  <c r="D335" i="1"/>
  <c r="E104" i="1"/>
  <c r="D103" i="1"/>
  <c r="K103" i="1" l="1"/>
  <c r="H103" i="1"/>
  <c r="I103" i="1" s="1"/>
  <c r="G103" i="1"/>
  <c r="F104" i="1"/>
  <c r="M104" i="1"/>
  <c r="H335" i="1"/>
  <c r="I335" i="1" s="1"/>
  <c r="G335" i="1"/>
  <c r="K335" i="1"/>
  <c r="F336" i="1"/>
  <c r="M336" i="1"/>
  <c r="N103" i="1" l="1"/>
  <c r="N335" i="1"/>
  <c r="E105" i="1"/>
  <c r="D104" i="1"/>
  <c r="E337" i="1"/>
  <c r="D336" i="1"/>
  <c r="H336" i="1" l="1"/>
  <c r="I336" i="1" s="1"/>
  <c r="G336" i="1"/>
  <c r="N336" i="1" s="1"/>
  <c r="K336" i="1"/>
  <c r="E341" i="1"/>
  <c r="F341" i="1" s="1"/>
  <c r="F337" i="1"/>
  <c r="D337" i="1" s="1"/>
  <c r="M337" i="1"/>
  <c r="M338" i="1" s="1"/>
  <c r="H104" i="1"/>
  <c r="I104" i="1" s="1"/>
  <c r="G104" i="1"/>
  <c r="K104" i="1"/>
  <c r="F105" i="1"/>
  <c r="M105" i="1"/>
  <c r="M106" i="1" s="1"/>
  <c r="N104" i="1" l="1"/>
  <c r="M172" i="1"/>
  <c r="M180" i="1"/>
  <c r="M188" i="1"/>
  <c r="M175" i="1"/>
  <c r="M183" i="1"/>
  <c r="M191" i="1"/>
  <c r="M170" i="1"/>
  <c r="M178" i="1"/>
  <c r="M186" i="1"/>
  <c r="M173" i="1"/>
  <c r="M181" i="1"/>
  <c r="M189" i="1"/>
  <c r="M171" i="1"/>
  <c r="M187" i="1"/>
  <c r="M182" i="1"/>
  <c r="M179" i="1"/>
  <c r="M185" i="1"/>
  <c r="M174" i="1"/>
  <c r="M176" i="1"/>
  <c r="M192" i="1"/>
  <c r="M177" i="1"/>
  <c r="M184" i="1"/>
  <c r="M169" i="1"/>
  <c r="M168" i="1"/>
  <c r="M190" i="1"/>
  <c r="E342" i="1"/>
  <c r="F342" i="1" s="1"/>
  <c r="D342" i="1"/>
  <c r="J342" i="1" s="1"/>
  <c r="D341" i="1"/>
  <c r="K341" i="1" s="1"/>
  <c r="G337" i="1"/>
  <c r="H337" i="1"/>
  <c r="K337" i="1"/>
  <c r="M144" i="1"/>
  <c r="M152" i="1"/>
  <c r="M160" i="1"/>
  <c r="M147" i="1"/>
  <c r="M155" i="1"/>
  <c r="M163" i="1"/>
  <c r="M142" i="1"/>
  <c r="M150" i="1"/>
  <c r="M158" i="1"/>
  <c r="M145" i="1"/>
  <c r="M153" i="1"/>
  <c r="M161" i="1"/>
  <c r="M151" i="1"/>
  <c r="M146" i="1"/>
  <c r="M162" i="1"/>
  <c r="M140" i="1"/>
  <c r="M148" i="1"/>
  <c r="M154" i="1"/>
  <c r="M141" i="1"/>
  <c r="M156" i="1"/>
  <c r="M143" i="1"/>
  <c r="M149" i="1"/>
  <c r="M157" i="1"/>
  <c r="M139" i="1"/>
  <c r="M159" i="1"/>
  <c r="D105" i="1"/>
  <c r="F109" i="1"/>
  <c r="M193" i="1" l="1"/>
  <c r="I337" i="1"/>
  <c r="I341" i="1" s="1"/>
  <c r="H341" i="1"/>
  <c r="G341" i="1"/>
  <c r="N341" i="1" s="1"/>
  <c r="N337" i="1"/>
  <c r="H342" i="1"/>
  <c r="I342" i="1" s="1"/>
  <c r="G342" i="1"/>
  <c r="K342" i="1"/>
  <c r="F110" i="1"/>
  <c r="E109" i="1"/>
  <c r="D109" i="1"/>
  <c r="H105" i="1"/>
  <c r="I105" i="1" s="1"/>
  <c r="K105" i="1"/>
  <c r="G105" i="1"/>
  <c r="D13" i="1"/>
  <c r="D343" i="1"/>
  <c r="J343" i="1" s="1"/>
  <c r="E343" i="1"/>
  <c r="F343" i="1" s="1"/>
  <c r="M164" i="1"/>
  <c r="E139" i="1"/>
  <c r="N105" i="1" l="1"/>
  <c r="N342" i="1"/>
  <c r="E110" i="1"/>
  <c r="L109" i="1" s="1"/>
  <c r="F111" i="1"/>
  <c r="D110" i="1"/>
  <c r="F139" i="1"/>
  <c r="C139" i="1"/>
  <c r="G109" i="1"/>
  <c r="H109" i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K109" i="1"/>
  <c r="G343" i="1"/>
  <c r="H343" i="1"/>
  <c r="I343" i="1" s="1"/>
  <c r="K343" i="1"/>
  <c r="E344" i="1"/>
  <c r="F344" i="1" s="1"/>
  <c r="D344" i="1"/>
  <c r="N109" i="1" l="1"/>
  <c r="D345" i="1"/>
  <c r="E345" i="1"/>
  <c r="F345" i="1" s="1"/>
  <c r="J345" i="1"/>
  <c r="B139" i="1"/>
  <c r="E140" i="1"/>
  <c r="F140" i="1" s="1"/>
  <c r="D139" i="1"/>
  <c r="G110" i="1"/>
  <c r="N110" i="1" s="1"/>
  <c r="H110" i="1"/>
  <c r="K110" i="1"/>
  <c r="E111" i="1"/>
  <c r="L110" i="1" s="1"/>
  <c r="F112" i="1"/>
  <c r="D111" i="1"/>
  <c r="H344" i="1"/>
  <c r="I344" i="1" s="1"/>
  <c r="G344" i="1"/>
  <c r="K344" i="1"/>
  <c r="N343" i="1"/>
  <c r="J344" i="1"/>
  <c r="I138" i="1"/>
  <c r="N134" i="1"/>
  <c r="N344" i="1" l="1"/>
  <c r="G139" i="1"/>
  <c r="H139" i="1"/>
  <c r="K139" i="1"/>
  <c r="I139" i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N138" i="1"/>
  <c r="H111" i="1"/>
  <c r="G111" i="1"/>
  <c r="N111" i="1" s="1"/>
  <c r="K111" i="1"/>
  <c r="C140" i="1"/>
  <c r="E141" i="1"/>
  <c r="F141" i="1" s="1"/>
  <c r="D140" i="1"/>
  <c r="F113" i="1"/>
  <c r="E112" i="1"/>
  <c r="L111" i="1" s="1"/>
  <c r="D112" i="1"/>
  <c r="E346" i="1"/>
  <c r="F346" i="1" s="1"/>
  <c r="D346" i="1"/>
  <c r="J346" i="1" s="1"/>
  <c r="G345" i="1"/>
  <c r="H345" i="1"/>
  <c r="I345" i="1" s="1"/>
  <c r="K345" i="1"/>
  <c r="H112" i="1" l="1"/>
  <c r="G112" i="1"/>
  <c r="N112" i="1" s="1"/>
  <c r="K112" i="1"/>
  <c r="E113" i="1"/>
  <c r="L112" i="1" s="1"/>
  <c r="D113" i="1"/>
  <c r="F114" i="1"/>
  <c r="N345" i="1"/>
  <c r="H140" i="1"/>
  <c r="E142" i="1"/>
  <c r="F142" i="1" s="1"/>
  <c r="D141" i="1"/>
  <c r="G346" i="1"/>
  <c r="H346" i="1"/>
  <c r="I346" i="1" s="1"/>
  <c r="K346" i="1"/>
  <c r="C141" i="1"/>
  <c r="B140" i="1"/>
  <c r="G140" i="1" s="1"/>
  <c r="N140" i="1" s="1"/>
  <c r="E347" i="1"/>
  <c r="F347" i="1" s="1"/>
  <c r="D347" i="1"/>
  <c r="J347" i="1" s="1"/>
  <c r="N139" i="1"/>
  <c r="N346" i="1" l="1"/>
  <c r="F115" i="1"/>
  <c r="D114" i="1"/>
  <c r="E114" i="1"/>
  <c r="L113" i="1" s="1"/>
  <c r="G347" i="1"/>
  <c r="H347" i="1"/>
  <c r="I347" i="1" s="1"/>
  <c r="K347" i="1"/>
  <c r="D142" i="1"/>
  <c r="E143" i="1"/>
  <c r="F143" i="1" s="1"/>
  <c r="H141" i="1"/>
  <c r="D348" i="1"/>
  <c r="J348" i="1" s="1"/>
  <c r="E348" i="1"/>
  <c r="F348" i="1" s="1"/>
  <c r="G113" i="1"/>
  <c r="N113" i="1" s="1"/>
  <c r="H113" i="1"/>
  <c r="K113" i="1"/>
  <c r="C142" i="1"/>
  <c r="B141" i="1"/>
  <c r="G141" i="1" s="1"/>
  <c r="N141" i="1" s="1"/>
  <c r="K140" i="1"/>
  <c r="D349" i="1" l="1"/>
  <c r="J349" i="1" s="1"/>
  <c r="E349" i="1"/>
  <c r="F349" i="1" s="1"/>
  <c r="G348" i="1"/>
  <c r="H348" i="1"/>
  <c r="I348" i="1" s="1"/>
  <c r="K348" i="1"/>
  <c r="N347" i="1"/>
  <c r="C143" i="1"/>
  <c r="B142" i="1"/>
  <c r="K142" i="1" s="1"/>
  <c r="K141" i="1"/>
  <c r="G114" i="1"/>
  <c r="N114" i="1" s="1"/>
  <c r="H114" i="1"/>
  <c r="K114" i="1"/>
  <c r="E144" i="1"/>
  <c r="F144" i="1" s="1"/>
  <c r="D143" i="1"/>
  <c r="F116" i="1"/>
  <c r="E115" i="1"/>
  <c r="L114" i="1" s="1"/>
  <c r="D115" i="1"/>
  <c r="H142" i="1"/>
  <c r="G142" i="1" l="1"/>
  <c r="N142" i="1" s="1"/>
  <c r="E116" i="1"/>
  <c r="L115" i="1" s="1"/>
  <c r="F117" i="1"/>
  <c r="D116" i="1"/>
  <c r="H143" i="1"/>
  <c r="D144" i="1"/>
  <c r="E145" i="1"/>
  <c r="F145" i="1" s="1"/>
  <c r="C144" i="1"/>
  <c r="B143" i="1"/>
  <c r="G143" i="1" s="1"/>
  <c r="N143" i="1" s="1"/>
  <c r="N348" i="1"/>
  <c r="E350" i="1"/>
  <c r="F350" i="1" s="1"/>
  <c r="D350" i="1"/>
  <c r="J350" i="1" s="1"/>
  <c r="G115" i="1"/>
  <c r="N115" i="1" s="1"/>
  <c r="H115" i="1"/>
  <c r="K115" i="1"/>
  <c r="G349" i="1"/>
  <c r="H349" i="1"/>
  <c r="I349" i="1" s="1"/>
  <c r="K349" i="1"/>
  <c r="K143" i="1" l="1"/>
  <c r="N349" i="1"/>
  <c r="G350" i="1"/>
  <c r="H350" i="1"/>
  <c r="I350" i="1" s="1"/>
  <c r="K350" i="1"/>
  <c r="E351" i="1"/>
  <c r="F351" i="1" s="1"/>
  <c r="D351" i="1"/>
  <c r="J351" i="1" s="1"/>
  <c r="C145" i="1"/>
  <c r="B144" i="1"/>
  <c r="G144" i="1" s="1"/>
  <c r="N144" i="1" s="1"/>
  <c r="G116" i="1"/>
  <c r="N116" i="1" s="1"/>
  <c r="H116" i="1"/>
  <c r="K116" i="1"/>
  <c r="E146" i="1"/>
  <c r="F146" i="1" s="1"/>
  <c r="D145" i="1"/>
  <c r="F118" i="1"/>
  <c r="E117" i="1"/>
  <c r="L116" i="1" s="1"/>
  <c r="D117" i="1"/>
  <c r="H144" i="1"/>
  <c r="K144" i="1" l="1"/>
  <c r="E118" i="1"/>
  <c r="L117" i="1" s="1"/>
  <c r="F119" i="1"/>
  <c r="D118" i="1"/>
  <c r="E147" i="1"/>
  <c r="F147" i="1" s="1"/>
  <c r="D146" i="1"/>
  <c r="C146" i="1"/>
  <c r="B145" i="1"/>
  <c r="G145" i="1" s="1"/>
  <c r="N145" i="1" s="1"/>
  <c r="H145" i="1"/>
  <c r="G351" i="1"/>
  <c r="H351" i="1"/>
  <c r="I351" i="1" s="1"/>
  <c r="K351" i="1"/>
  <c r="E352" i="1"/>
  <c r="F352" i="1" s="1"/>
  <c r="D352" i="1"/>
  <c r="N350" i="1"/>
  <c r="G117" i="1"/>
  <c r="N117" i="1" s="1"/>
  <c r="H117" i="1"/>
  <c r="K117" i="1"/>
  <c r="H352" i="1" l="1"/>
  <c r="G352" i="1"/>
  <c r="K352" i="1"/>
  <c r="D353" i="1"/>
  <c r="J353" i="1" s="1"/>
  <c r="E353" i="1"/>
  <c r="F353" i="1" s="1"/>
  <c r="H146" i="1"/>
  <c r="G146" i="1"/>
  <c r="N146" i="1" s="1"/>
  <c r="N351" i="1"/>
  <c r="C147" i="1"/>
  <c r="B146" i="1"/>
  <c r="K146" i="1" s="1"/>
  <c r="E148" i="1"/>
  <c r="F148" i="1" s="1"/>
  <c r="D147" i="1"/>
  <c r="K145" i="1"/>
  <c r="G118" i="1"/>
  <c r="N118" i="1" s="1"/>
  <c r="H118" i="1"/>
  <c r="K118" i="1"/>
  <c r="F120" i="1"/>
  <c r="E119" i="1"/>
  <c r="L118" i="1" s="1"/>
  <c r="D119" i="1"/>
  <c r="J352" i="1"/>
  <c r="H147" i="1" l="1"/>
  <c r="H119" i="1"/>
  <c r="G119" i="1"/>
  <c r="N119" i="1" s="1"/>
  <c r="K119" i="1"/>
  <c r="E354" i="1"/>
  <c r="F354" i="1" s="1"/>
  <c r="D354" i="1"/>
  <c r="G353" i="1"/>
  <c r="H353" i="1"/>
  <c r="I353" i="1" s="1"/>
  <c r="K353" i="1"/>
  <c r="C148" i="1"/>
  <c r="B147" i="1"/>
  <c r="G147" i="1" s="1"/>
  <c r="N147" i="1" s="1"/>
  <c r="E149" i="1"/>
  <c r="F149" i="1" s="1"/>
  <c r="D148" i="1"/>
  <c r="F121" i="1"/>
  <c r="E120" i="1"/>
  <c r="L119" i="1" s="1"/>
  <c r="D120" i="1"/>
  <c r="I352" i="1"/>
  <c r="N352" i="1" s="1"/>
  <c r="E150" i="1" l="1"/>
  <c r="F150" i="1" s="1"/>
  <c r="D149" i="1"/>
  <c r="H120" i="1"/>
  <c r="G120" i="1"/>
  <c r="N120" i="1" s="1"/>
  <c r="K120" i="1"/>
  <c r="K147" i="1"/>
  <c r="H354" i="1"/>
  <c r="G354" i="1"/>
  <c r="K354" i="1"/>
  <c r="E355" i="1"/>
  <c r="F355" i="1" s="1"/>
  <c r="D355" i="1"/>
  <c r="J355" i="1" s="1"/>
  <c r="C149" i="1"/>
  <c r="B148" i="1"/>
  <c r="G148" i="1" s="1"/>
  <c r="N148" i="1" s="1"/>
  <c r="E121" i="1"/>
  <c r="L120" i="1" s="1"/>
  <c r="F122" i="1"/>
  <c r="D121" i="1"/>
  <c r="N353" i="1"/>
  <c r="H148" i="1"/>
  <c r="J354" i="1"/>
  <c r="K148" i="1" l="1"/>
  <c r="I354" i="1"/>
  <c r="N354" i="1" s="1"/>
  <c r="C150" i="1"/>
  <c r="B149" i="1"/>
  <c r="G149" i="1" s="1"/>
  <c r="N149" i="1" s="1"/>
  <c r="E122" i="1"/>
  <c r="L121" i="1" s="1"/>
  <c r="D122" i="1"/>
  <c r="F123" i="1"/>
  <c r="G355" i="1"/>
  <c r="H355" i="1"/>
  <c r="I355" i="1" s="1"/>
  <c r="K355" i="1"/>
  <c r="D356" i="1"/>
  <c r="J356" i="1" s="1"/>
  <c r="E356" i="1"/>
  <c r="F356" i="1" s="1"/>
  <c r="H149" i="1"/>
  <c r="G121" i="1"/>
  <c r="N121" i="1" s="1"/>
  <c r="H121" i="1"/>
  <c r="K121" i="1"/>
  <c r="E151" i="1"/>
  <c r="F151" i="1" s="1"/>
  <c r="D150" i="1"/>
  <c r="H150" i="1" l="1"/>
  <c r="F124" i="1"/>
  <c r="D123" i="1"/>
  <c r="E123" i="1"/>
  <c r="L122" i="1" s="1"/>
  <c r="D357" i="1"/>
  <c r="E357" i="1"/>
  <c r="F357" i="1" s="1"/>
  <c r="H122" i="1"/>
  <c r="G122" i="1"/>
  <c r="N122" i="1" s="1"/>
  <c r="K122" i="1"/>
  <c r="E152" i="1"/>
  <c r="F152" i="1" s="1"/>
  <c r="D151" i="1"/>
  <c r="H356" i="1"/>
  <c r="I356" i="1" s="1"/>
  <c r="G356" i="1"/>
  <c r="K356" i="1"/>
  <c r="C151" i="1"/>
  <c r="B150" i="1"/>
  <c r="K150" i="1" s="1"/>
  <c r="K149" i="1"/>
  <c r="N355" i="1"/>
  <c r="H151" i="1" l="1"/>
  <c r="E153" i="1"/>
  <c r="F153" i="1" s="1"/>
  <c r="D152" i="1"/>
  <c r="G150" i="1"/>
  <c r="N150" i="1" s="1"/>
  <c r="G357" i="1"/>
  <c r="H357" i="1"/>
  <c r="K357" i="1"/>
  <c r="G123" i="1"/>
  <c r="N123" i="1" s="1"/>
  <c r="H123" i="1"/>
  <c r="K123" i="1"/>
  <c r="F125" i="1"/>
  <c r="D124" i="1"/>
  <c r="E124" i="1"/>
  <c r="L123" i="1" s="1"/>
  <c r="C152" i="1"/>
  <c r="B151" i="1"/>
  <c r="G151" i="1" s="1"/>
  <c r="N151" i="1" s="1"/>
  <c r="J357" i="1"/>
  <c r="N356" i="1"/>
  <c r="E358" i="1"/>
  <c r="F358" i="1" s="1"/>
  <c r="D358" i="1"/>
  <c r="J358" i="1" s="1"/>
  <c r="I357" i="1" l="1"/>
  <c r="K151" i="1"/>
  <c r="N357" i="1"/>
  <c r="E359" i="1"/>
  <c r="F359" i="1" s="1"/>
  <c r="D359" i="1"/>
  <c r="J359" i="1" s="1"/>
  <c r="H358" i="1"/>
  <c r="I358" i="1" s="1"/>
  <c r="G358" i="1"/>
  <c r="K358" i="1"/>
  <c r="G124" i="1"/>
  <c r="N124" i="1" s="1"/>
  <c r="H124" i="1"/>
  <c r="K124" i="1"/>
  <c r="E125" i="1"/>
  <c r="L124" i="1" s="1"/>
  <c r="F126" i="1"/>
  <c r="D125" i="1"/>
  <c r="H152" i="1"/>
  <c r="E154" i="1"/>
  <c r="F154" i="1" s="1"/>
  <c r="D153" i="1"/>
  <c r="B152" i="1"/>
  <c r="K152" i="1" s="1"/>
  <c r="C153" i="1"/>
  <c r="G152" i="1" l="1"/>
  <c r="N152" i="1" s="1"/>
  <c r="N358" i="1"/>
  <c r="G125" i="1"/>
  <c r="N125" i="1" s="1"/>
  <c r="H125" i="1"/>
  <c r="K125" i="1"/>
  <c r="H153" i="1"/>
  <c r="C154" i="1"/>
  <c r="B153" i="1"/>
  <c r="G153" i="1" s="1"/>
  <c r="N153" i="1" s="1"/>
  <c r="E126" i="1"/>
  <c r="L125" i="1" s="1"/>
  <c r="F127" i="1"/>
  <c r="D126" i="1"/>
  <c r="G359" i="1"/>
  <c r="H359" i="1"/>
  <c r="I359" i="1" s="1"/>
  <c r="K359" i="1"/>
  <c r="E155" i="1"/>
  <c r="F155" i="1" s="1"/>
  <c r="D154" i="1"/>
  <c r="E360" i="1"/>
  <c r="F360" i="1" s="1"/>
  <c r="D360" i="1"/>
  <c r="H360" i="1" l="1"/>
  <c r="G360" i="1"/>
  <c r="K360" i="1"/>
  <c r="K153" i="1"/>
  <c r="G126" i="1"/>
  <c r="N126" i="1" s="1"/>
  <c r="H126" i="1"/>
  <c r="K126" i="1"/>
  <c r="E156" i="1"/>
  <c r="F156" i="1" s="1"/>
  <c r="D155" i="1"/>
  <c r="C155" i="1"/>
  <c r="B154" i="1"/>
  <c r="G154" i="1" s="1"/>
  <c r="N154" i="1" s="1"/>
  <c r="N359" i="1"/>
  <c r="J360" i="1"/>
  <c r="D361" i="1"/>
  <c r="J361" i="1" s="1"/>
  <c r="E361" i="1"/>
  <c r="F361" i="1" s="1"/>
  <c r="E127" i="1"/>
  <c r="L126" i="1" s="1"/>
  <c r="F128" i="1"/>
  <c r="D127" i="1"/>
  <c r="H154" i="1"/>
  <c r="K154" i="1" l="1"/>
  <c r="E362" i="1"/>
  <c r="F362" i="1" s="1"/>
  <c r="D362" i="1"/>
  <c r="G361" i="1"/>
  <c r="H361" i="1"/>
  <c r="I361" i="1" s="1"/>
  <c r="K361" i="1"/>
  <c r="E157" i="1"/>
  <c r="F157" i="1" s="1"/>
  <c r="D156" i="1"/>
  <c r="G127" i="1"/>
  <c r="N127" i="1" s="1"/>
  <c r="H127" i="1"/>
  <c r="K127" i="1"/>
  <c r="F129" i="1"/>
  <c r="D128" i="1"/>
  <c r="E128" i="1"/>
  <c r="L127" i="1" s="1"/>
  <c r="C156" i="1"/>
  <c r="B155" i="1"/>
  <c r="G155" i="1" s="1"/>
  <c r="N155" i="1" s="1"/>
  <c r="H155" i="1"/>
  <c r="I360" i="1"/>
  <c r="N360" i="1" s="1"/>
  <c r="K155" i="1" l="1"/>
  <c r="C157" i="1"/>
  <c r="B156" i="1"/>
  <c r="K156" i="1" s="1"/>
  <c r="H362" i="1"/>
  <c r="G362" i="1"/>
  <c r="K362" i="1"/>
  <c r="H156" i="1"/>
  <c r="E158" i="1"/>
  <c r="F158" i="1" s="1"/>
  <c r="D157" i="1"/>
  <c r="G128" i="1"/>
  <c r="N128" i="1" s="1"/>
  <c r="H128" i="1"/>
  <c r="K128" i="1"/>
  <c r="E129" i="1"/>
  <c r="L128" i="1" s="1"/>
  <c r="F130" i="1"/>
  <c r="D129" i="1"/>
  <c r="N361" i="1"/>
  <c r="J362" i="1"/>
  <c r="E363" i="1"/>
  <c r="F363" i="1" s="1"/>
  <c r="D363" i="1"/>
  <c r="J363" i="1" s="1"/>
  <c r="G156" i="1" l="1"/>
  <c r="N156" i="1" s="1"/>
  <c r="G129" i="1"/>
  <c r="N129" i="1" s="1"/>
  <c r="H129" i="1"/>
  <c r="K129" i="1"/>
  <c r="D130" i="1"/>
  <c r="E130" i="1"/>
  <c r="L129" i="1" s="1"/>
  <c r="F131" i="1"/>
  <c r="G363" i="1"/>
  <c r="H363" i="1"/>
  <c r="I363" i="1" s="1"/>
  <c r="K363" i="1"/>
  <c r="E364" i="1"/>
  <c r="F364" i="1" s="1"/>
  <c r="D364" i="1"/>
  <c r="J364" i="1" s="1"/>
  <c r="I362" i="1"/>
  <c r="N362" i="1" s="1"/>
  <c r="H157" i="1"/>
  <c r="D158" i="1"/>
  <c r="E159" i="1"/>
  <c r="F159" i="1" s="1"/>
  <c r="C158" i="1"/>
  <c r="B157" i="1"/>
  <c r="K157" i="1" s="1"/>
  <c r="G157" i="1" l="1"/>
  <c r="N157" i="1" s="1"/>
  <c r="N363" i="1"/>
  <c r="F132" i="1"/>
  <c r="D131" i="1"/>
  <c r="E131" i="1"/>
  <c r="L130" i="1" s="1"/>
  <c r="H158" i="1"/>
  <c r="K158" i="1"/>
  <c r="C159" i="1"/>
  <c r="B158" i="1"/>
  <c r="G158" i="1" s="1"/>
  <c r="N158" i="1" s="1"/>
  <c r="E160" i="1"/>
  <c r="F160" i="1" s="1"/>
  <c r="D159" i="1"/>
  <c r="G364" i="1"/>
  <c r="H364" i="1"/>
  <c r="I364" i="1" s="1"/>
  <c r="K364" i="1"/>
  <c r="H130" i="1"/>
  <c r="G130" i="1"/>
  <c r="N130" i="1" s="1"/>
  <c r="K130" i="1"/>
  <c r="E365" i="1"/>
  <c r="F365" i="1" s="1"/>
  <c r="D365" i="1"/>
  <c r="J365" i="1" s="1"/>
  <c r="C160" i="1" l="1"/>
  <c r="B159" i="1"/>
  <c r="G159" i="1" s="1"/>
  <c r="N159" i="1" s="1"/>
  <c r="H365" i="1"/>
  <c r="I365" i="1" s="1"/>
  <c r="G365" i="1"/>
  <c r="K365" i="1"/>
  <c r="E161" i="1"/>
  <c r="F161" i="1" s="1"/>
  <c r="D160" i="1"/>
  <c r="N364" i="1"/>
  <c r="H159" i="1"/>
  <c r="D366" i="1"/>
  <c r="E366" i="1"/>
  <c r="F366" i="1" s="1"/>
  <c r="J366" i="1"/>
  <c r="H131" i="1"/>
  <c r="G131" i="1"/>
  <c r="N131" i="1" s="1"/>
  <c r="K131" i="1"/>
  <c r="F133" i="1"/>
  <c r="E132" i="1"/>
  <c r="L131" i="1" s="1"/>
  <c r="D132" i="1"/>
  <c r="N365" i="1" l="1"/>
  <c r="K159" i="1"/>
  <c r="H160" i="1"/>
  <c r="G366" i="1"/>
  <c r="H366" i="1"/>
  <c r="I366" i="1" s="1"/>
  <c r="H17" i="1" s="1"/>
  <c r="K366" i="1"/>
  <c r="I13" i="1"/>
  <c r="E162" i="1"/>
  <c r="F162" i="1" s="1"/>
  <c r="D161" i="1"/>
  <c r="G132" i="1"/>
  <c r="N132" i="1" s="1"/>
  <c r="H132" i="1"/>
  <c r="K132" i="1"/>
  <c r="E133" i="1"/>
  <c r="L132" i="1" s="1"/>
  <c r="D133" i="1"/>
  <c r="B160" i="1"/>
  <c r="G160" i="1" s="1"/>
  <c r="N160" i="1" s="1"/>
  <c r="C161" i="1"/>
  <c r="L133" i="1" l="1"/>
  <c r="E163" i="1"/>
  <c r="D162" i="1"/>
  <c r="G133" i="1"/>
  <c r="N133" i="1" s="1"/>
  <c r="H133" i="1"/>
  <c r="K133" i="1"/>
  <c r="E13" i="1"/>
  <c r="N366" i="1"/>
  <c r="K160" i="1"/>
  <c r="C162" i="1"/>
  <c r="B161" i="1"/>
  <c r="G161" i="1" s="1"/>
  <c r="N161" i="1" s="1"/>
  <c r="H161" i="1"/>
  <c r="K161" i="1" l="1"/>
  <c r="H162" i="1"/>
  <c r="C163" i="1"/>
  <c r="B162" i="1"/>
  <c r="G162" i="1" s="1"/>
  <c r="N162" i="1" s="1"/>
  <c r="E167" i="1"/>
  <c r="F167" i="1" s="1"/>
  <c r="E168" i="1" s="1"/>
  <c r="F168" i="1" s="1"/>
  <c r="F163" i="1"/>
  <c r="D163" i="1" s="1"/>
  <c r="D167" i="1" l="1"/>
  <c r="H163" i="1"/>
  <c r="H167" i="1" s="1"/>
  <c r="E169" i="1"/>
  <c r="F169" i="1" s="1"/>
  <c r="D168" i="1"/>
  <c r="B163" i="1"/>
  <c r="B167" i="1" s="1"/>
  <c r="C167" i="1"/>
  <c r="C168" i="1" s="1"/>
  <c r="K162" i="1"/>
  <c r="K163" i="1" l="1"/>
  <c r="H168" i="1"/>
  <c r="E170" i="1"/>
  <c r="F170" i="1" s="1"/>
  <c r="D169" i="1"/>
  <c r="G163" i="1"/>
  <c r="N163" i="1" s="1"/>
  <c r="C169" i="1"/>
  <c r="B168" i="1"/>
  <c r="G168" i="1" s="1"/>
  <c r="N168" i="1" s="1"/>
  <c r="G167" i="1"/>
  <c r="N167" i="1" s="1"/>
  <c r="K167" i="1"/>
  <c r="K168" i="1" l="1"/>
  <c r="H169" i="1"/>
  <c r="E171" i="1"/>
  <c r="F171" i="1" s="1"/>
  <c r="D170" i="1"/>
  <c r="C170" i="1"/>
  <c r="B169" i="1"/>
  <c r="G169" i="1" s="1"/>
  <c r="N169" i="1" s="1"/>
  <c r="C171" i="1" l="1"/>
  <c r="B170" i="1"/>
  <c r="G170" i="1" s="1"/>
  <c r="N170" i="1" s="1"/>
  <c r="H170" i="1"/>
  <c r="E172" i="1"/>
  <c r="F172" i="1" s="1"/>
  <c r="D171" i="1"/>
  <c r="K169" i="1"/>
  <c r="K170" i="1" l="1"/>
  <c r="H171" i="1"/>
  <c r="E173" i="1"/>
  <c r="F173" i="1" s="1"/>
  <c r="D172" i="1"/>
  <c r="C172" i="1"/>
  <c r="B171" i="1"/>
  <c r="G171" i="1" s="1"/>
  <c r="N171" i="1" s="1"/>
  <c r="C173" i="1" l="1"/>
  <c r="B172" i="1"/>
  <c r="G172" i="1" s="1"/>
  <c r="N172" i="1" s="1"/>
  <c r="H172" i="1"/>
  <c r="E174" i="1"/>
  <c r="F174" i="1" s="1"/>
  <c r="D173" i="1"/>
  <c r="K171" i="1"/>
  <c r="K172" i="1" l="1"/>
  <c r="H173" i="1"/>
  <c r="E175" i="1"/>
  <c r="F175" i="1" s="1"/>
  <c r="D174" i="1"/>
  <c r="C174" i="1"/>
  <c r="B173" i="1"/>
  <c r="G173" i="1" s="1"/>
  <c r="N173" i="1" s="1"/>
  <c r="C175" i="1" l="1"/>
  <c r="B174" i="1"/>
  <c r="G174" i="1" s="1"/>
  <c r="N174" i="1" s="1"/>
  <c r="H174" i="1"/>
  <c r="E176" i="1"/>
  <c r="F176" i="1" s="1"/>
  <c r="D175" i="1"/>
  <c r="K173" i="1"/>
  <c r="K174" i="1" l="1"/>
  <c r="E177" i="1"/>
  <c r="F177" i="1" s="1"/>
  <c r="D176" i="1"/>
  <c r="H175" i="1"/>
  <c r="B175" i="1"/>
  <c r="G175" i="1" s="1"/>
  <c r="N175" i="1" s="1"/>
  <c r="C176" i="1"/>
  <c r="C177" i="1" l="1"/>
  <c r="B176" i="1"/>
  <c r="G176" i="1" s="1"/>
  <c r="N176" i="1" s="1"/>
  <c r="K175" i="1"/>
  <c r="H176" i="1"/>
  <c r="E178" i="1"/>
  <c r="F178" i="1" s="1"/>
  <c r="D177" i="1"/>
  <c r="K176" i="1" l="1"/>
  <c r="H177" i="1"/>
  <c r="E179" i="1"/>
  <c r="F179" i="1" s="1"/>
  <c r="D178" i="1"/>
  <c r="C178" i="1"/>
  <c r="B177" i="1"/>
  <c r="G177" i="1" s="1"/>
  <c r="N177" i="1" s="1"/>
  <c r="C179" i="1" l="1"/>
  <c r="B178" i="1"/>
  <c r="G178" i="1" s="1"/>
  <c r="N178" i="1" s="1"/>
  <c r="H178" i="1"/>
  <c r="E180" i="1"/>
  <c r="F180" i="1" s="1"/>
  <c r="D179" i="1"/>
  <c r="K177" i="1"/>
  <c r="K178" i="1" l="1"/>
  <c r="H179" i="1"/>
  <c r="E181" i="1"/>
  <c r="F181" i="1" s="1"/>
  <c r="D180" i="1"/>
  <c r="C180" i="1"/>
  <c r="B179" i="1"/>
  <c r="G179" i="1" s="1"/>
  <c r="N179" i="1" s="1"/>
  <c r="C181" i="1" l="1"/>
  <c r="B180" i="1"/>
  <c r="G180" i="1" s="1"/>
  <c r="N180" i="1" s="1"/>
  <c r="H180" i="1"/>
  <c r="E182" i="1"/>
  <c r="F182" i="1" s="1"/>
  <c r="D181" i="1"/>
  <c r="K179" i="1"/>
  <c r="K180" i="1" l="1"/>
  <c r="H181" i="1"/>
  <c r="E183" i="1"/>
  <c r="F183" i="1" s="1"/>
  <c r="D182" i="1"/>
  <c r="B181" i="1"/>
  <c r="G181" i="1" s="1"/>
  <c r="N181" i="1" s="1"/>
  <c r="C182" i="1"/>
  <c r="C183" i="1" l="1"/>
  <c r="B182" i="1"/>
  <c r="G182" i="1" s="1"/>
  <c r="N182" i="1" s="1"/>
  <c r="H182" i="1"/>
  <c r="D183" i="1"/>
  <c r="E184" i="1"/>
  <c r="F184" i="1" s="1"/>
  <c r="K181" i="1"/>
  <c r="K182" i="1" l="1"/>
  <c r="E185" i="1"/>
  <c r="F185" i="1" s="1"/>
  <c r="D184" i="1"/>
  <c r="H183" i="1"/>
  <c r="C184" i="1"/>
  <c r="B183" i="1"/>
  <c r="G183" i="1" s="1"/>
  <c r="N183" i="1" s="1"/>
  <c r="C185" i="1" l="1"/>
  <c r="B184" i="1"/>
  <c r="G184" i="1" s="1"/>
  <c r="N184" i="1" s="1"/>
  <c r="K183" i="1"/>
  <c r="H184" i="1"/>
  <c r="E186" i="1"/>
  <c r="F186" i="1" s="1"/>
  <c r="D185" i="1"/>
  <c r="K184" i="1" l="1"/>
  <c r="H185" i="1"/>
  <c r="E187" i="1"/>
  <c r="F187" i="1" s="1"/>
  <c r="D186" i="1"/>
  <c r="C186" i="1"/>
  <c r="B185" i="1"/>
  <c r="G185" i="1" s="1"/>
  <c r="N185" i="1" s="1"/>
  <c r="C187" i="1" l="1"/>
  <c r="B186" i="1"/>
  <c r="G186" i="1" s="1"/>
  <c r="N186" i="1" s="1"/>
  <c r="H186" i="1"/>
  <c r="E188" i="1"/>
  <c r="F188" i="1" s="1"/>
  <c r="D187" i="1"/>
  <c r="K185" i="1"/>
  <c r="K186" i="1" l="1"/>
  <c r="H187" i="1"/>
  <c r="E189" i="1"/>
  <c r="F189" i="1" s="1"/>
  <c r="D188" i="1"/>
  <c r="C188" i="1"/>
  <c r="B187" i="1"/>
  <c r="G187" i="1" s="1"/>
  <c r="N187" i="1" s="1"/>
  <c r="C189" i="1" l="1"/>
  <c r="B188" i="1"/>
  <c r="G188" i="1" s="1"/>
  <c r="N188" i="1" s="1"/>
  <c r="H188" i="1"/>
  <c r="E190" i="1"/>
  <c r="F190" i="1" s="1"/>
  <c r="D189" i="1"/>
  <c r="K187" i="1"/>
  <c r="K188" i="1" l="1"/>
  <c r="H189" i="1"/>
  <c r="E191" i="1"/>
  <c r="F191" i="1" s="1"/>
  <c r="D190" i="1"/>
  <c r="C190" i="1"/>
  <c r="B189" i="1"/>
  <c r="G189" i="1" s="1"/>
  <c r="N189" i="1" s="1"/>
  <c r="C191" i="1" l="1"/>
  <c r="B190" i="1"/>
  <c r="G190" i="1" s="1"/>
  <c r="N190" i="1" s="1"/>
  <c r="H190" i="1"/>
  <c r="E192" i="1"/>
  <c r="F192" i="1" s="1"/>
  <c r="D191" i="1"/>
  <c r="K189" i="1"/>
  <c r="K190" i="1" l="1"/>
  <c r="H191" i="1"/>
  <c r="F221" i="1"/>
  <c r="F196" i="1"/>
  <c r="D192" i="1"/>
  <c r="B191" i="1"/>
  <c r="G191" i="1" s="1"/>
  <c r="N191" i="1" s="1"/>
  <c r="C192" i="1"/>
  <c r="B192" i="1" s="1"/>
  <c r="B196" i="1" s="1"/>
  <c r="C196" i="1" s="1"/>
  <c r="C221" i="1" l="1"/>
  <c r="C197" i="1" s="1"/>
  <c r="H192" i="1"/>
  <c r="D196" i="1"/>
  <c r="G192" i="1"/>
  <c r="N192" i="1" s="1"/>
  <c r="K192" i="1"/>
  <c r="F13" i="1"/>
  <c r="G13" i="1"/>
  <c r="E196" i="1"/>
  <c r="F197" i="1"/>
  <c r="E221" i="1"/>
  <c r="E225" i="1" s="1"/>
  <c r="F225" i="1" s="1"/>
  <c r="D221" i="1"/>
  <c r="K191" i="1"/>
  <c r="D225" i="1" l="1"/>
  <c r="H221" i="1"/>
  <c r="H225" i="1" s="1"/>
  <c r="E226" i="1"/>
  <c r="F226" i="1" s="1"/>
  <c r="G196" i="1"/>
  <c r="H196" i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5" i="1" s="1"/>
  <c r="K196" i="1"/>
  <c r="E197" i="1"/>
  <c r="L196" i="1" s="1"/>
  <c r="F198" i="1"/>
  <c r="D197" i="1"/>
  <c r="C198" i="1"/>
  <c r="B197" i="1"/>
  <c r="C225" i="1"/>
  <c r="B221" i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N196" i="1" l="1"/>
  <c r="G221" i="1"/>
  <c r="K221" i="1"/>
  <c r="C199" i="1"/>
  <c r="B198" i="1"/>
  <c r="H197" i="1"/>
  <c r="G197" i="1"/>
  <c r="N197" i="1" s="1"/>
  <c r="K197" i="1"/>
  <c r="E227" i="1"/>
  <c r="F227" i="1" s="1"/>
  <c r="F199" i="1"/>
  <c r="E198" i="1"/>
  <c r="L197" i="1" s="1"/>
  <c r="D198" i="1"/>
  <c r="G225" i="1"/>
  <c r="N225" i="1" s="1"/>
  <c r="N221" i="1"/>
  <c r="C250" i="1"/>
  <c r="C226" i="1" s="1"/>
  <c r="K225" i="1"/>
  <c r="C227" i="1" l="1"/>
  <c r="D226" i="1"/>
  <c r="G198" i="1"/>
  <c r="N198" i="1" s="1"/>
  <c r="H198" i="1"/>
  <c r="K198" i="1"/>
  <c r="C200" i="1"/>
  <c r="B199" i="1"/>
  <c r="E228" i="1"/>
  <c r="F228" i="1" s="1"/>
  <c r="E199" i="1"/>
  <c r="L198" i="1" s="1"/>
  <c r="F200" i="1"/>
  <c r="D199" i="1"/>
  <c r="B200" i="1" l="1"/>
  <c r="C201" i="1"/>
  <c r="F201" i="1"/>
  <c r="E200" i="1"/>
  <c r="L199" i="1" s="1"/>
  <c r="D200" i="1"/>
  <c r="G199" i="1"/>
  <c r="N199" i="1" s="1"/>
  <c r="H199" i="1"/>
  <c r="K199" i="1"/>
  <c r="H226" i="1"/>
  <c r="G226" i="1"/>
  <c r="K226" i="1"/>
  <c r="J226" i="1"/>
  <c r="C228" i="1"/>
  <c r="D227" i="1"/>
  <c r="E229" i="1"/>
  <c r="F229" i="1" s="1"/>
  <c r="H227" i="1" l="1"/>
  <c r="G227" i="1"/>
  <c r="K227" i="1"/>
  <c r="J227" i="1"/>
  <c r="C229" i="1"/>
  <c r="D228" i="1"/>
  <c r="H200" i="1"/>
  <c r="G200" i="1"/>
  <c r="N200" i="1" s="1"/>
  <c r="K200" i="1"/>
  <c r="F202" i="1"/>
  <c r="E201" i="1"/>
  <c r="L200" i="1" s="1"/>
  <c r="D201" i="1"/>
  <c r="E230" i="1"/>
  <c r="F230" i="1" s="1"/>
  <c r="I226" i="1"/>
  <c r="N226" i="1" s="1"/>
  <c r="B201" i="1"/>
  <c r="C202" i="1"/>
  <c r="G228" i="1" l="1"/>
  <c r="H228" i="1"/>
  <c r="K228" i="1"/>
  <c r="J228" i="1"/>
  <c r="B202" i="1"/>
  <c r="C203" i="1"/>
  <c r="C230" i="1"/>
  <c r="D229" i="1"/>
  <c r="E231" i="1"/>
  <c r="F231" i="1" s="1"/>
  <c r="H201" i="1"/>
  <c r="G201" i="1"/>
  <c r="N201" i="1" s="1"/>
  <c r="K201" i="1"/>
  <c r="E202" i="1"/>
  <c r="L201" i="1" s="1"/>
  <c r="F203" i="1"/>
  <c r="D202" i="1"/>
  <c r="I227" i="1"/>
  <c r="N227" i="1" s="1"/>
  <c r="E203" i="1" l="1"/>
  <c r="F204" i="1"/>
  <c r="D203" i="1"/>
  <c r="G229" i="1"/>
  <c r="H229" i="1"/>
  <c r="K229" i="1"/>
  <c r="J229" i="1"/>
  <c r="C231" i="1"/>
  <c r="D230" i="1"/>
  <c r="B203" i="1"/>
  <c r="C204" i="1"/>
  <c r="I228" i="1"/>
  <c r="N228" i="1" s="1"/>
  <c r="L202" i="1"/>
  <c r="E232" i="1"/>
  <c r="F232" i="1" s="1"/>
  <c r="G202" i="1"/>
  <c r="N202" i="1" s="1"/>
  <c r="H202" i="1"/>
  <c r="K202" i="1"/>
  <c r="E233" i="1" l="1"/>
  <c r="F233" i="1" s="1"/>
  <c r="I229" i="1"/>
  <c r="N229" i="1" s="1"/>
  <c r="C205" i="1"/>
  <c r="B204" i="1"/>
  <c r="H230" i="1"/>
  <c r="G230" i="1"/>
  <c r="K230" i="1"/>
  <c r="J230" i="1"/>
  <c r="G203" i="1"/>
  <c r="N203" i="1" s="1"/>
  <c r="H203" i="1"/>
  <c r="K203" i="1"/>
  <c r="C232" i="1"/>
  <c r="D231" i="1"/>
  <c r="E204" i="1"/>
  <c r="L203" i="1" s="1"/>
  <c r="F205" i="1"/>
  <c r="D204" i="1"/>
  <c r="I230" i="1" l="1"/>
  <c r="G231" i="1"/>
  <c r="H231" i="1"/>
  <c r="K231" i="1"/>
  <c r="J231" i="1"/>
  <c r="C233" i="1"/>
  <c r="D232" i="1"/>
  <c r="C206" i="1"/>
  <c r="B205" i="1"/>
  <c r="H204" i="1"/>
  <c r="G204" i="1"/>
  <c r="N204" i="1" s="1"/>
  <c r="K204" i="1"/>
  <c r="E205" i="1"/>
  <c r="L204" i="1" s="1"/>
  <c r="F206" i="1"/>
  <c r="D205" i="1"/>
  <c r="N230" i="1"/>
  <c r="E234" i="1"/>
  <c r="F234" i="1" s="1"/>
  <c r="H232" i="1" l="1"/>
  <c r="G232" i="1"/>
  <c r="K232" i="1"/>
  <c r="J232" i="1"/>
  <c r="F207" i="1"/>
  <c r="E206" i="1"/>
  <c r="L205" i="1" s="1"/>
  <c r="D206" i="1"/>
  <c r="C207" i="1"/>
  <c r="B206" i="1"/>
  <c r="H205" i="1"/>
  <c r="G205" i="1"/>
  <c r="N205" i="1" s="1"/>
  <c r="K205" i="1"/>
  <c r="C234" i="1"/>
  <c r="D233" i="1"/>
  <c r="E235" i="1"/>
  <c r="F235" i="1" s="1"/>
  <c r="I231" i="1"/>
  <c r="N231" i="1" s="1"/>
  <c r="E207" i="1" l="1"/>
  <c r="L206" i="1" s="1"/>
  <c r="D207" i="1"/>
  <c r="F208" i="1"/>
  <c r="G233" i="1"/>
  <c r="H233" i="1"/>
  <c r="K233" i="1"/>
  <c r="J233" i="1"/>
  <c r="H206" i="1"/>
  <c r="G206" i="1"/>
  <c r="N206" i="1" s="1"/>
  <c r="K206" i="1"/>
  <c r="C235" i="1"/>
  <c r="D234" i="1"/>
  <c r="N232" i="1"/>
  <c r="E236" i="1"/>
  <c r="F236" i="1" s="1"/>
  <c r="B207" i="1"/>
  <c r="C208" i="1"/>
  <c r="I232" i="1"/>
  <c r="E237" i="1" l="1"/>
  <c r="F237" i="1" s="1"/>
  <c r="I233" i="1"/>
  <c r="N233" i="1" s="1"/>
  <c r="H234" i="1"/>
  <c r="G234" i="1"/>
  <c r="K234" i="1"/>
  <c r="J234" i="1"/>
  <c r="C236" i="1"/>
  <c r="D235" i="1"/>
  <c r="C209" i="1"/>
  <c r="B208" i="1"/>
  <c r="F209" i="1"/>
  <c r="E208" i="1"/>
  <c r="L207" i="1" s="1"/>
  <c r="D208" i="1"/>
  <c r="G207" i="1"/>
  <c r="N207" i="1" s="1"/>
  <c r="H207" i="1"/>
  <c r="K207" i="1"/>
  <c r="G208" i="1" l="1"/>
  <c r="N208" i="1" s="1"/>
  <c r="H208" i="1"/>
  <c r="K208" i="1"/>
  <c r="I234" i="1"/>
  <c r="N234" i="1" s="1"/>
  <c r="F210" i="1"/>
  <c r="E209" i="1"/>
  <c r="L208" i="1" s="1"/>
  <c r="D209" i="1"/>
  <c r="B209" i="1"/>
  <c r="C210" i="1"/>
  <c r="H235" i="1"/>
  <c r="G235" i="1"/>
  <c r="K235" i="1"/>
  <c r="J235" i="1"/>
  <c r="C237" i="1"/>
  <c r="D236" i="1"/>
  <c r="E238" i="1"/>
  <c r="F238" i="1" s="1"/>
  <c r="C238" i="1" l="1"/>
  <c r="D237" i="1"/>
  <c r="G209" i="1"/>
  <c r="N209" i="1" s="1"/>
  <c r="H209" i="1"/>
  <c r="K209" i="1"/>
  <c r="E210" i="1"/>
  <c r="L209" i="1" s="1"/>
  <c r="F211" i="1"/>
  <c r="D210" i="1"/>
  <c r="I235" i="1"/>
  <c r="N235" i="1" s="1"/>
  <c r="B210" i="1"/>
  <c r="C211" i="1"/>
  <c r="E239" i="1"/>
  <c r="F239" i="1" s="1"/>
  <c r="G236" i="1"/>
  <c r="H236" i="1"/>
  <c r="K236" i="1"/>
  <c r="J236" i="1"/>
  <c r="E211" i="1" l="1"/>
  <c r="D211" i="1"/>
  <c r="F212" i="1"/>
  <c r="E240" i="1"/>
  <c r="F240" i="1" s="1"/>
  <c r="B211" i="1"/>
  <c r="C212" i="1"/>
  <c r="I236" i="1"/>
  <c r="N236" i="1" s="1"/>
  <c r="L210" i="1"/>
  <c r="G237" i="1"/>
  <c r="H237" i="1"/>
  <c r="K237" i="1"/>
  <c r="J237" i="1"/>
  <c r="G210" i="1"/>
  <c r="N210" i="1" s="1"/>
  <c r="H210" i="1"/>
  <c r="K210" i="1"/>
  <c r="C239" i="1"/>
  <c r="D238" i="1"/>
  <c r="E241" i="1" l="1"/>
  <c r="F241" i="1" s="1"/>
  <c r="I237" i="1"/>
  <c r="N237" i="1" s="1"/>
  <c r="C240" i="1"/>
  <c r="D239" i="1"/>
  <c r="H238" i="1"/>
  <c r="G238" i="1"/>
  <c r="K238" i="1"/>
  <c r="J238" i="1"/>
  <c r="E212" i="1"/>
  <c r="L211" i="1" s="1"/>
  <c r="F213" i="1"/>
  <c r="D212" i="1"/>
  <c r="G211" i="1"/>
  <c r="N211" i="1" s="1"/>
  <c r="H211" i="1"/>
  <c r="K211" i="1"/>
  <c r="B212" i="1"/>
  <c r="C213" i="1"/>
  <c r="I238" i="1" l="1"/>
  <c r="N238" i="1" s="1"/>
  <c r="G239" i="1"/>
  <c r="H239" i="1"/>
  <c r="K239" i="1"/>
  <c r="J239" i="1"/>
  <c r="E213" i="1"/>
  <c r="L212" i="1" s="1"/>
  <c r="F214" i="1"/>
  <c r="D213" i="1"/>
  <c r="C214" i="1"/>
  <c r="B213" i="1"/>
  <c r="H212" i="1"/>
  <c r="G212" i="1"/>
  <c r="N212" i="1" s="1"/>
  <c r="K212" i="1"/>
  <c r="C241" i="1"/>
  <c r="D240" i="1"/>
  <c r="E242" i="1"/>
  <c r="F242" i="1" s="1"/>
  <c r="E243" i="1" l="1"/>
  <c r="F243" i="1" s="1"/>
  <c r="G240" i="1"/>
  <c r="H240" i="1"/>
  <c r="K240" i="1"/>
  <c r="J240" i="1"/>
  <c r="H213" i="1"/>
  <c r="G213" i="1"/>
  <c r="N213" i="1" s="1"/>
  <c r="K213" i="1"/>
  <c r="C242" i="1"/>
  <c r="D241" i="1"/>
  <c r="F215" i="1"/>
  <c r="E214" i="1"/>
  <c r="L213" i="1" s="1"/>
  <c r="D214" i="1"/>
  <c r="I239" i="1"/>
  <c r="N239" i="1" s="1"/>
  <c r="C215" i="1"/>
  <c r="B214" i="1"/>
  <c r="E215" i="1" l="1"/>
  <c r="L214" i="1" s="1"/>
  <c r="F216" i="1"/>
  <c r="D215" i="1"/>
  <c r="C216" i="1"/>
  <c r="B215" i="1"/>
  <c r="H214" i="1"/>
  <c r="G214" i="1"/>
  <c r="N214" i="1" s="1"/>
  <c r="K214" i="1"/>
  <c r="I240" i="1"/>
  <c r="N240" i="1" s="1"/>
  <c r="G241" i="1"/>
  <c r="H241" i="1"/>
  <c r="K241" i="1"/>
  <c r="J241" i="1"/>
  <c r="C243" i="1"/>
  <c r="D242" i="1"/>
  <c r="E244" i="1"/>
  <c r="F244" i="1" s="1"/>
  <c r="C244" i="1" l="1"/>
  <c r="D243" i="1"/>
  <c r="B216" i="1"/>
  <c r="C217" i="1"/>
  <c r="E245" i="1"/>
  <c r="F245" i="1" s="1"/>
  <c r="H215" i="1"/>
  <c r="G215" i="1"/>
  <c r="N215" i="1" s="1"/>
  <c r="K215" i="1"/>
  <c r="F217" i="1"/>
  <c r="E216" i="1"/>
  <c r="L215" i="1" s="1"/>
  <c r="D216" i="1"/>
  <c r="I241" i="1"/>
  <c r="N241" i="1" s="1"/>
  <c r="H242" i="1"/>
  <c r="G242" i="1"/>
  <c r="K242" i="1"/>
  <c r="J242" i="1"/>
  <c r="H216" i="1" l="1"/>
  <c r="G216" i="1"/>
  <c r="N216" i="1" s="1"/>
  <c r="K216" i="1"/>
  <c r="H243" i="1"/>
  <c r="G243" i="1"/>
  <c r="K243" i="1"/>
  <c r="J243" i="1"/>
  <c r="E246" i="1"/>
  <c r="F246" i="1" s="1"/>
  <c r="C218" i="1"/>
  <c r="B217" i="1"/>
  <c r="F218" i="1"/>
  <c r="E217" i="1"/>
  <c r="L216" i="1" s="1"/>
  <c r="D217" i="1"/>
  <c r="I242" i="1"/>
  <c r="N242" i="1" s="1"/>
  <c r="C245" i="1"/>
  <c r="D244" i="1"/>
  <c r="G217" i="1" l="1"/>
  <c r="N217" i="1" s="1"/>
  <c r="H217" i="1"/>
  <c r="K217" i="1"/>
  <c r="F219" i="1"/>
  <c r="E218" i="1"/>
  <c r="L217" i="1" s="1"/>
  <c r="D218" i="1"/>
  <c r="G244" i="1"/>
  <c r="H244" i="1"/>
  <c r="K244" i="1"/>
  <c r="J244" i="1"/>
  <c r="I243" i="1"/>
  <c r="N243" i="1" s="1"/>
  <c r="C246" i="1"/>
  <c r="D245" i="1"/>
  <c r="B218" i="1"/>
  <c r="C219" i="1"/>
  <c r="E247" i="1"/>
  <c r="F247" i="1" s="1"/>
  <c r="G245" i="1" l="1"/>
  <c r="H245" i="1"/>
  <c r="K245" i="1"/>
  <c r="J245" i="1"/>
  <c r="C247" i="1"/>
  <c r="D246" i="1"/>
  <c r="G218" i="1"/>
  <c r="N218" i="1" s="1"/>
  <c r="H218" i="1"/>
  <c r="K218" i="1"/>
  <c r="F220" i="1"/>
  <c r="E219" i="1"/>
  <c r="L218" i="1" s="1"/>
  <c r="D219" i="1"/>
  <c r="E248" i="1"/>
  <c r="F248" i="1" s="1"/>
  <c r="I244" i="1"/>
  <c r="N244" i="1" s="1"/>
  <c r="B219" i="1"/>
  <c r="C220" i="1"/>
  <c r="B220" i="1" s="1"/>
  <c r="E249" i="1" l="1"/>
  <c r="F249" i="1" s="1"/>
  <c r="H246" i="1"/>
  <c r="G246" i="1"/>
  <c r="K246" i="1"/>
  <c r="J246" i="1"/>
  <c r="C248" i="1"/>
  <c r="D247" i="1"/>
  <c r="G219" i="1"/>
  <c r="N219" i="1" s="1"/>
  <c r="H219" i="1"/>
  <c r="K219" i="1"/>
  <c r="E220" i="1"/>
  <c r="L219" i="1" s="1"/>
  <c r="D220" i="1"/>
  <c r="I245" i="1"/>
  <c r="N245" i="1" s="1"/>
  <c r="L220" i="1" l="1"/>
  <c r="C17" i="1"/>
  <c r="D17" i="1" s="1"/>
  <c r="H220" i="1"/>
  <c r="G220" i="1"/>
  <c r="N220" i="1" s="1"/>
  <c r="K220" i="1"/>
  <c r="C249" i="1"/>
  <c r="D249" i="1" s="1"/>
  <c r="D248" i="1"/>
  <c r="I246" i="1"/>
  <c r="N246" i="1" s="1"/>
  <c r="G247" i="1"/>
  <c r="H247" i="1"/>
  <c r="K247" i="1"/>
  <c r="J247" i="1"/>
  <c r="D250" i="1"/>
  <c r="E250" i="1"/>
  <c r="F250" i="1" s="1"/>
  <c r="H248" i="1" l="1"/>
  <c r="G248" i="1"/>
  <c r="K248" i="1"/>
  <c r="J248" i="1"/>
  <c r="D254" i="1"/>
  <c r="H250" i="1"/>
  <c r="G250" i="1"/>
  <c r="K250" i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H13" i="1"/>
  <c r="G249" i="1"/>
  <c r="H249" i="1"/>
  <c r="K249" i="1"/>
  <c r="J249" i="1"/>
  <c r="I247" i="1"/>
  <c r="N247" i="1" s="1"/>
  <c r="J250" i="1"/>
  <c r="J17" i="1" s="1"/>
  <c r="I250" i="1" l="1"/>
  <c r="E17" i="1" s="1"/>
  <c r="D255" i="1"/>
  <c r="G254" i="1"/>
  <c r="I249" i="1"/>
  <c r="N249" i="1" s="1"/>
  <c r="I248" i="1"/>
  <c r="N248" i="1" s="1"/>
  <c r="G255" i="1" l="1"/>
  <c r="D256" i="1"/>
  <c r="L17" i="1"/>
  <c r="N250" i="1"/>
  <c r="F17" i="1" s="1"/>
  <c r="G17" i="1" s="1"/>
  <c r="N17" i="1" l="1"/>
  <c r="K17" i="1" s="1"/>
  <c r="M20" i="1" s="1"/>
  <c r="I17" i="1"/>
  <c r="M17" i="1"/>
  <c r="O17" i="1"/>
  <c r="G256" i="1"/>
  <c r="D257" i="1"/>
  <c r="G257" i="1" l="1"/>
  <c r="D258" i="1"/>
  <c r="D259" i="1" l="1"/>
  <c r="G258" i="1"/>
  <c r="D260" i="1" l="1"/>
  <c r="G259" i="1"/>
  <c r="G260" i="1" l="1"/>
  <c r="D261" i="1"/>
  <c r="D262" i="1" l="1"/>
  <c r="G261" i="1"/>
  <c r="D263" i="1" l="1"/>
  <c r="G262" i="1"/>
  <c r="D264" i="1" l="1"/>
  <c r="G263" i="1"/>
  <c r="G264" i="1" l="1"/>
  <c r="D265" i="1"/>
  <c r="G265" i="1" l="1"/>
  <c r="D266" i="1"/>
  <c r="D267" i="1" l="1"/>
  <c r="G266" i="1"/>
  <c r="D268" i="1" l="1"/>
  <c r="G267" i="1"/>
  <c r="G268" i="1" l="1"/>
  <c r="D269" i="1"/>
  <c r="D270" i="1" l="1"/>
  <c r="G269" i="1"/>
  <c r="G270" i="1" l="1"/>
  <c r="D271" i="1"/>
  <c r="D272" i="1" l="1"/>
  <c r="G271" i="1"/>
  <c r="D273" i="1" l="1"/>
  <c r="G272" i="1"/>
  <c r="G273" i="1" l="1"/>
  <c r="D274" i="1"/>
  <c r="D275" i="1" l="1"/>
  <c r="G274" i="1"/>
  <c r="D276" i="1" l="1"/>
  <c r="G275" i="1"/>
  <c r="G276" i="1" l="1"/>
  <c r="D277" i="1"/>
  <c r="D278" i="1" l="1"/>
  <c r="G277" i="1"/>
  <c r="D279" i="1" l="1"/>
  <c r="G279" i="1" s="1"/>
  <c r="G2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Ronney</author>
  </authors>
  <commentList>
    <comment ref="C8" authorId="0" shapeId="0" xr:uid="{00000000-0006-0000-0000-000001000000}">
      <text>
        <r>
          <rPr>
            <b/>
            <sz val="9"/>
            <color rgb="FF000000"/>
            <rFont val="Geneva"/>
            <family val="2"/>
          </rPr>
          <t>Paul Ronney:</t>
        </r>
        <r>
          <rPr>
            <sz val="9"/>
            <color rgb="FF000000"/>
            <rFont val="Geneva"/>
            <family val="2"/>
          </rPr>
          <t xml:space="preserve">
</t>
        </r>
        <r>
          <rPr>
            <sz val="9"/>
            <color rgb="FF000000"/>
            <rFont val="Geneva"/>
            <family val="2"/>
          </rPr>
          <t>Should always be zero except for hyperonic propulsion with no compressor or turbine</t>
        </r>
      </text>
    </comment>
    <comment ref="C16" authorId="0" shapeId="0" xr:uid="{00000000-0006-0000-0000-000002000000}">
      <text>
        <r>
          <rPr>
            <b/>
            <sz val="9"/>
            <color indexed="81"/>
            <rFont val="Geneva"/>
            <family val="2"/>
          </rPr>
          <t>Paul Ronney:</t>
        </r>
        <r>
          <rPr>
            <sz val="9"/>
            <color indexed="81"/>
            <rFont val="Geneva"/>
            <family val="2"/>
          </rPr>
          <t xml:space="preserve">
Includes main combustor and afternburner</t>
        </r>
      </text>
    </comment>
  </commentList>
</comments>
</file>

<file path=xl/sharedStrings.xml><?xml version="1.0" encoding="utf-8"?>
<sst xmlns="http://schemas.openxmlformats.org/spreadsheetml/2006/main" count="325" uniqueCount="154">
  <si>
    <t xml:space="preserve">•  In this step, heat generation due to combustion is added in </t>
  </si>
  <si>
    <t>gamma</t>
  </si>
  <si>
    <t>M (kg/mole)</t>
  </si>
  <si>
    <t>f</t>
  </si>
  <si>
    <t>Qr</t>
  </si>
  <si>
    <t>P (atm)</t>
  </si>
  <si>
    <t>ue (m/s)</t>
  </si>
  <si>
    <t>Ae (m^2)</t>
  </si>
  <si>
    <t xml:space="preserve">   or turbine or afterburner</t>
  </si>
  <si>
    <t xml:space="preserve">•  Fan nozzle follows same laws as main nozzle </t>
  </si>
  <si>
    <t xml:space="preserve">   but Pe = Pa (i.e. P9' = P1) is always assumed</t>
  </si>
  <si>
    <t xml:space="preserve">   and of course the inlet conditions to the fan</t>
  </si>
  <si>
    <t xml:space="preserve">   nozzle are the outlet conditions from the fan</t>
  </si>
  <si>
    <t xml:space="preserve">   compressor</t>
  </si>
  <si>
    <t>Mach no. after diffuser</t>
  </si>
  <si>
    <t>v (m^3/kg)</t>
  </si>
  <si>
    <t xml:space="preserve">   to pi_n*P7t in 25 equal steps</t>
  </si>
  <si>
    <t>•  No heat input or work output in nozzle</t>
  </si>
  <si>
    <t xml:space="preserve">   irreversibility) 1/25 of the work required to drive fan</t>
  </si>
  <si>
    <t xml:space="preserve">   where h is the "Heat xfer coefficient" and</t>
  </si>
  <si>
    <t xml:space="preserve">   T∞ is the "Wall temperature"</t>
  </si>
  <si>
    <t>•  Heat transfer occurs according to</t>
  </si>
  <si>
    <t>•  Note that this heat transfer is NOT an accurate</t>
  </si>
  <si>
    <t xml:space="preserve">   (2)  isentropic compression according to the usual</t>
  </si>
  <si>
    <t>•  This closes the T-s diagram</t>
  </si>
  <si>
    <t xml:space="preserve">   i.e the turbine inlet temperature limit</t>
  </si>
  <si>
    <t>Expansion through turbine to pay for compressor work</t>
  </si>
  <si>
    <t xml:space="preserve">        the same law as always</t>
  </si>
  <si>
    <t xml:space="preserve">   (2)  isentropic expansion according to the usual</t>
  </si>
  <si>
    <t xml:space="preserve">        Pv^gamma relations, with optional irreversibility n_turb</t>
  </si>
  <si>
    <t>•  Each of 25 expansion steps provides (after accounting for losses due to</t>
  </si>
  <si>
    <t xml:space="preserve">   irreversibility) 1/25 of the work required to drive turbine</t>
  </si>
  <si>
    <t xml:space="preserve">   calculated from c and M</t>
  </si>
  <si>
    <t>Heat xfer coefficient</t>
  </si>
  <si>
    <t>•  Shown as dotted on the T-s plot since the gas does not</t>
  </si>
  <si>
    <t xml:space="preserve">   really go through this process, it is thrown away rather</t>
  </si>
  <si>
    <t xml:space="preserve">   than cooled off</t>
  </si>
  <si>
    <t>Gas properties</t>
  </si>
  <si>
    <t xml:space="preserve">        Pv^gamma relations, with optional irreversibility n_comp</t>
  </si>
  <si>
    <t>•  Expansion is done in two steps:</t>
  </si>
  <si>
    <t xml:space="preserve">   wall according to the same law as always</t>
  </si>
  <si>
    <t>T (adia) (K)</t>
  </si>
  <si>
    <t>Fan diffuser</t>
  </si>
  <si>
    <t>Fan compressor</t>
  </si>
  <si>
    <t>Work out (J/kg)</t>
  </si>
  <si>
    <t>Heat in (J/kg)</t>
  </si>
  <si>
    <t>c (m/s)</t>
  </si>
  <si>
    <t>u (m/s)</t>
  </si>
  <si>
    <t>Area (m^2)</t>
  </si>
  <si>
    <t>Fan Nozzle</t>
  </si>
  <si>
    <t>Main thrust (N)</t>
  </si>
  <si>
    <t>Fan thrust (N)</t>
  </si>
  <si>
    <t>Ideal Spec. Thrust (no fan)</t>
  </si>
  <si>
    <t>Close the cycle</t>
  </si>
  <si>
    <t>Tau_lamda,AB</t>
  </si>
  <si>
    <t>Afterburner</t>
  </si>
  <si>
    <t>Fan</t>
  </si>
  <si>
    <t>Fan press ratio</t>
  </si>
  <si>
    <t>Bypass ratio</t>
  </si>
  <si>
    <t>FAR</t>
  </si>
  <si>
    <t>Area</t>
  </si>
  <si>
    <t>Spec. Thrust</t>
  </si>
  <si>
    <t>Overall Eff</t>
  </si>
  <si>
    <t>TSFC</t>
  </si>
  <si>
    <t>Thermal eff</t>
  </si>
  <si>
    <t>Prop. Eff</t>
  </si>
  <si>
    <t>Pin (atm)</t>
  </si>
  <si>
    <t>Pexh (atm)</t>
  </si>
  <si>
    <t>Calculated results (don't modify these cells!)</t>
  </si>
  <si>
    <t>•  Heat transfer occurs according to usual law</t>
  </si>
  <si>
    <t xml:space="preserve">   it increments according to the Mach number change,</t>
  </si>
  <si>
    <t xml:space="preserve">   spent at each M, varying turbulence levels</t>
  </si>
  <si>
    <t xml:space="preserve">   and diffuser geometry as M changes, etc.</t>
  </si>
  <si>
    <t>•  Fan diffuser is exactly same as main air stream diffuser</t>
  </si>
  <si>
    <t>•  Fan compressor is exactly same as main air</t>
  </si>
  <si>
    <t xml:space="preserve">   compressor except for the different pressure</t>
  </si>
  <si>
    <t xml:space="preserve">   (1)  wall heat transfer at constant pressure according to</t>
  </si>
  <si>
    <t>•  Compression ends at a pressure of</t>
  </si>
  <si>
    <t>Expansion through turbine to pay for fan work (if fan exists, i.e. alpha ≠ 0)</t>
  </si>
  <si>
    <t xml:space="preserve">Expansion through nozzle </t>
  </si>
  <si>
    <t>Main combustor</t>
  </si>
  <si>
    <t xml:space="preserve">   after combustion P7t = P6t*pi_ab (note pi_ab = 1 for ideal</t>
  </si>
  <si>
    <t>•  Static (not stagnation) pressure decrements from value after afterburner</t>
  </si>
  <si>
    <t xml:space="preserve">   to specified exhaust pressure in 25 equal steps</t>
  </si>
  <si>
    <r>
      <t xml:space="preserve">•  Static P and T are calculated from M </t>
    </r>
    <r>
      <rPr>
        <b/>
        <i/>
        <sz val="10"/>
        <rFont val="Verdana"/>
        <family val="2"/>
      </rPr>
      <t>(which must be zero)</t>
    </r>
    <r>
      <rPr>
        <i/>
        <sz val="10"/>
        <rFont val="Verdana"/>
        <family val="2"/>
      </rPr>
      <t xml:space="preserve"> and Pt, Tt</t>
    </r>
  </si>
  <si>
    <t>•  Work input is equal to Cp*(T_i+1 - T_i), and of course any</t>
  </si>
  <si>
    <t xml:space="preserve">    wall heat transfer is subtracted out</t>
  </si>
  <si>
    <t>Specific impulse (sec)</t>
  </si>
  <si>
    <t>Turbine (comp)</t>
  </si>
  <si>
    <t>Turbine (fan)</t>
  </si>
  <si>
    <t>•  Compression is done in two steps:</t>
  </si>
  <si>
    <t xml:space="preserve">   ratio pi_c', and is not followed by a combustor</t>
  </si>
  <si>
    <t>•  Stagnation pressure increments in 25 equal steps</t>
  </si>
  <si>
    <t xml:space="preserve">        the same law as for the diffuser process</t>
  </si>
  <si>
    <t>•  Compression in the compressor is correct only if</t>
  </si>
  <si>
    <t xml:space="preserve">    the Mach number after the diffuser is zero</t>
  </si>
  <si>
    <t xml:space="preserve">       pi_c *P2t</t>
  </si>
  <si>
    <t xml:space="preserve">   where P2t is the pressure at the end of the diffuser process</t>
  </si>
  <si>
    <t>s-so (J/kg-K)</t>
  </si>
  <si>
    <t>Tintake (K)</t>
  </si>
  <si>
    <t xml:space="preserve">   representation of real heat transfer since it</t>
  </si>
  <si>
    <t xml:space="preserve">   25 equal steps (1/25 of the total for each 1/25 of the stagnation </t>
  </si>
  <si>
    <t xml:space="preserve">   temperature change) during the process) and heat is transferred to the</t>
  </si>
  <si>
    <t>•  Stagnation pressure drops in 25 equal increments so that the pressure</t>
  </si>
  <si>
    <t xml:space="preserve">   after combustion P4t = P3t*pi_burner (note pi_burner = 1 for ideal</t>
  </si>
  <si>
    <t xml:space="preserve">   turbojet cycle</t>
  </si>
  <si>
    <t xml:space="preserve">•  Heat addition ends when the temperature T4t = t1*tau_lamda, </t>
  </si>
  <si>
    <t xml:space="preserve">   with no accounting of the variation of time</t>
  </si>
  <si>
    <t>Flight Mach no</t>
  </si>
  <si>
    <t>Diffuser</t>
  </si>
  <si>
    <t>Compressor</t>
  </si>
  <si>
    <t>Combustor</t>
  </si>
  <si>
    <t>Turbine</t>
  </si>
  <si>
    <t>Intake conditions</t>
  </si>
  <si>
    <t>Compressor press. ratio</t>
  </si>
  <si>
    <t>Mach no</t>
  </si>
  <si>
    <t>c</t>
  </si>
  <si>
    <t>u</t>
  </si>
  <si>
    <t>gamma=</t>
  </si>
  <si>
    <t xml:space="preserve">Cp = </t>
  </si>
  <si>
    <t>Tau_lamda</t>
  </si>
  <si>
    <t>Pt (atm)</t>
  </si>
  <si>
    <t>Pt</t>
  </si>
  <si>
    <t>Tt</t>
  </si>
  <si>
    <t>sum</t>
  </si>
  <si>
    <t>Nozzle</t>
  </si>
  <si>
    <t>•  Stagnation pressure decrements from its value after afterburner (P7t)</t>
  </si>
  <si>
    <t>•  Mach number is assumed to be zero throughout</t>
  </si>
  <si>
    <t xml:space="preserve">   to pi_d*P1t in 25 equal steps</t>
  </si>
  <si>
    <t>•  No heat input or work output in diffuser</t>
  </si>
  <si>
    <t>Component efficiency</t>
  </si>
  <si>
    <t>Property 1</t>
  </si>
  <si>
    <t>Property 1 value</t>
  </si>
  <si>
    <t>Property 2 value</t>
  </si>
  <si>
    <t>Property 2</t>
  </si>
  <si>
    <t>Afterburner on?</t>
  </si>
  <si>
    <t>COMPONENT PROPERTIES</t>
  </si>
  <si>
    <t>Drag coefficient</t>
  </si>
  <si>
    <t>Main-flow Intake area (m^2)</t>
  </si>
  <si>
    <t>Main flow mdot_a (kg/s)</t>
  </si>
  <si>
    <t>Wall temp</t>
  </si>
  <si>
    <t>Heat in</t>
  </si>
  <si>
    <t>Work out</t>
  </si>
  <si>
    <t>Tt (after xfer)</t>
  </si>
  <si>
    <t>•  Mach number decrements from flight Mach no (M1)</t>
  </si>
  <si>
    <t xml:space="preserve">   to the specified value after the diffuser in 25 equal</t>
  </si>
  <si>
    <t xml:space="preserve">  steps</t>
  </si>
  <si>
    <t>•  Stagnation pressure decrements from its value at M1 (P1t)</t>
  </si>
  <si>
    <t xml:space="preserve">      Tt (after xfer) = Tt(adia) + h [Tt(adia)-T∞]</t>
  </si>
  <si>
    <t>•  Static P and T are calculated from M and Pt, Tt</t>
  </si>
  <si>
    <t>•  Sound speed c is calculated from T, then u is</t>
  </si>
  <si>
    <t>Average component temp</t>
  </si>
  <si>
    <t>R (J/kgK)</t>
    <phoneticPr fontId="5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</si>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</sst>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E+00"/>
    <numFmt numFmtId="166" formatCode="0.0"/>
    <numFmt numFmtId="167" formatCode="0.000"/>
    <numFmt numFmtId="168" formatCode="#,##0.000"/>
  </numFmts>
  <fonts count="1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color indexed="81"/>
      <name val="Geneva"/>
      <family val="2"/>
    </font>
    <font>
      <b/>
      <sz val="9"/>
      <color indexed="81"/>
      <name val="Geneva"/>
      <family val="2"/>
    </font>
    <font>
      <sz val="6"/>
      <name val="Verdana"/>
      <family val="2"/>
    </font>
    <font>
      <b/>
      <sz val="9"/>
      <color rgb="FF000000"/>
      <name val="Geneva"/>
      <family val="2"/>
    </font>
    <font>
      <sz val="9"/>
      <color rgb="FF000000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  <xf numFmtId="165" fontId="0" fillId="0" borderId="0" xfId="0" applyNumberFormat="1"/>
    <xf numFmtId="0" fontId="1" fillId="0" borderId="0" xfId="0" applyFont="1" applyFill="1" applyBorder="1"/>
    <xf numFmtId="0" fontId="4" fillId="0" borderId="0" xfId="0" applyFont="1"/>
    <xf numFmtId="0" fontId="0" fillId="0" borderId="0" xfId="0" applyFill="1" applyBorder="1"/>
    <xf numFmtId="165" fontId="0" fillId="0" borderId="0" xfId="0" applyNumberFormat="1" applyBorder="1"/>
    <xf numFmtId="0" fontId="2" fillId="0" borderId="0" xfId="0" applyFont="1"/>
    <xf numFmtId="164" fontId="2" fillId="0" borderId="0" xfId="0" applyNumberFormat="1" applyFont="1"/>
    <xf numFmtId="2" fontId="0" fillId="0" borderId="0" xfId="0" applyNumberFormat="1" applyBorder="1"/>
    <xf numFmtId="165" fontId="0" fillId="2" borderId="0" xfId="0" applyNumberFormat="1" applyFill="1"/>
    <xf numFmtId="11" fontId="0" fillId="0" borderId="0" xfId="0" applyNumberFormat="1"/>
    <xf numFmtId="168" fontId="0" fillId="0" borderId="0" xfId="0" applyNumberFormat="1"/>
    <xf numFmtId="168" fontId="1" fillId="0" borderId="0" xfId="0" applyNumberFormat="1" applyFont="1" applyBorder="1"/>
    <xf numFmtId="168" fontId="0" fillId="0" borderId="0" xfId="0" applyNumberFormat="1" applyBorder="1"/>
    <xf numFmtId="168" fontId="1" fillId="0" borderId="0" xfId="0" applyNumberFormat="1" applyFont="1"/>
    <xf numFmtId="166" fontId="0" fillId="0" borderId="0" xfId="0" applyNumberFormat="1" applyBorder="1"/>
    <xf numFmtId="166" fontId="0" fillId="0" borderId="0" xfId="0" applyNumberFormat="1"/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11" fontId="4" fillId="3" borderId="6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2" fontId="4" fillId="3" borderId="8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0" fontId="4" fillId="5" borderId="16" xfId="0" applyFon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18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11" fontId="4" fillId="6" borderId="9" xfId="0" applyNumberFormat="1" applyFont="1" applyFill="1" applyBorder="1" applyAlignment="1">
      <alignment wrapText="1"/>
    </xf>
    <xf numFmtId="164" fontId="4" fillId="6" borderId="18" xfId="0" applyNumberFormat="1" applyFont="1" applyFill="1" applyBorder="1" applyAlignment="1">
      <alignment wrapText="1"/>
    </xf>
    <xf numFmtId="165" fontId="4" fillId="6" borderId="18" xfId="0" applyNumberFormat="1" applyFont="1" applyFill="1" applyBorder="1" applyAlignment="1">
      <alignment wrapText="1"/>
    </xf>
    <xf numFmtId="0" fontId="1" fillId="6" borderId="19" xfId="0" applyFont="1" applyFill="1" applyBorder="1" applyAlignment="1"/>
    <xf numFmtId="0" fontId="4" fillId="6" borderId="20" xfId="0" applyFont="1" applyFill="1" applyBorder="1" applyAlignment="1">
      <alignment wrapText="1"/>
    </xf>
    <xf numFmtId="0" fontId="4" fillId="6" borderId="21" xfId="0" applyFont="1" applyFill="1" applyBorder="1" applyAlignment="1">
      <alignment wrapText="1"/>
    </xf>
    <xf numFmtId="166" fontId="4" fillId="4" borderId="7" xfId="0" applyNumberFormat="1" applyFont="1" applyFill="1" applyBorder="1" applyAlignment="1">
      <alignment wrapText="1"/>
    </xf>
    <xf numFmtId="0" fontId="1" fillId="7" borderId="22" xfId="0" applyFont="1" applyFill="1" applyBorder="1" applyAlignment="1">
      <alignment wrapText="1"/>
    </xf>
    <xf numFmtId="0" fontId="1" fillId="7" borderId="23" xfId="0" applyFont="1" applyFill="1" applyBorder="1" applyAlignment="1">
      <alignment wrapText="1"/>
    </xf>
    <xf numFmtId="0" fontId="1" fillId="7" borderId="24" xfId="0" applyFont="1" applyFill="1" applyBorder="1" applyAlignment="1">
      <alignment wrapText="1"/>
    </xf>
    <xf numFmtId="0" fontId="1" fillId="7" borderId="25" xfId="0" applyFont="1" applyFill="1" applyBorder="1" applyAlignment="1">
      <alignment wrapText="1"/>
    </xf>
    <xf numFmtId="0" fontId="3" fillId="7" borderId="26" xfId="0" applyFont="1" applyFill="1" applyBorder="1" applyAlignment="1">
      <alignment wrapText="1"/>
    </xf>
    <xf numFmtId="2" fontId="4" fillId="7" borderId="26" xfId="0" applyNumberFormat="1" applyFont="1" applyFill="1" applyBorder="1" applyAlignment="1">
      <alignment wrapText="1"/>
    </xf>
    <xf numFmtId="0" fontId="4" fillId="7" borderId="26" xfId="0" applyFont="1" applyFill="1" applyBorder="1" applyAlignment="1">
      <alignment wrapText="1"/>
    </xf>
    <xf numFmtId="2" fontId="2" fillId="7" borderId="26" xfId="0" applyNumberFormat="1" applyFont="1" applyFill="1" applyBorder="1" applyAlignment="1">
      <alignment wrapText="1"/>
    </xf>
    <xf numFmtId="0" fontId="2" fillId="7" borderId="26" xfId="0" applyFont="1" applyFill="1" applyBorder="1" applyAlignment="1">
      <alignment wrapText="1"/>
    </xf>
    <xf numFmtId="0" fontId="3" fillId="7" borderId="26" xfId="0" applyFont="1" applyFill="1" applyBorder="1" applyAlignment="1"/>
    <xf numFmtId="2" fontId="4" fillId="0" borderId="26" xfId="0" applyNumberFormat="1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165" fontId="0" fillId="0" borderId="0" xfId="0" applyNumberFormat="1" applyFill="1"/>
    <xf numFmtId="0" fontId="0" fillId="0" borderId="0" xfId="0" applyFill="1"/>
    <xf numFmtId="0" fontId="3" fillId="0" borderId="0" xfId="0" applyFont="1"/>
    <xf numFmtId="0" fontId="1" fillId="0" borderId="0" xfId="0" applyFont="1" applyAlignment="1"/>
    <xf numFmtId="167" fontId="0" fillId="0" borderId="0" xfId="0" applyNumberFormat="1" applyBorder="1"/>
    <xf numFmtId="166" fontId="4" fillId="6" borderId="1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/>
    <xf numFmtId="0" fontId="2" fillId="0" borderId="0" xfId="0" applyFont="1" applyFill="1"/>
    <xf numFmtId="164" fontId="3" fillId="0" borderId="0" xfId="0" applyNumberFormat="1" applyFont="1"/>
    <xf numFmtId="2" fontId="1" fillId="8" borderId="9" xfId="0" applyNumberFormat="1" applyFont="1" applyFill="1" applyBorder="1" applyAlignment="1">
      <alignment wrapText="1"/>
    </xf>
    <xf numFmtId="2" fontId="4" fillId="8" borderId="18" xfId="0" applyNumberFormat="1" applyFont="1" applyFill="1" applyBorder="1" applyAlignment="1">
      <alignment wrapText="1"/>
    </xf>
    <xf numFmtId="166" fontId="4" fillId="8" borderId="18" xfId="0" applyNumberFormat="1" applyFont="1" applyFill="1" applyBorder="1" applyAlignment="1">
      <alignment wrapText="1"/>
    </xf>
    <xf numFmtId="166" fontId="4" fillId="8" borderId="1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P-v diagram</a:t>
            </a:r>
          </a:p>
        </c:rich>
      </c:tx>
      <c:layout>
        <c:manualLayout>
          <c:xMode val="edge"/>
          <c:yMode val="edge"/>
          <c:x val="0.68456469312109602"/>
          <c:y val="0.2873240424612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17692928022899"/>
          <c:y val="0.25915501869051899"/>
          <c:w val="0.82326734336131802"/>
          <c:h val="0.6197185229555880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Sheet1!$B$49</c:f>
              <c:strCache>
                <c:ptCount val="1"/>
                <c:pt idx="0">
                  <c:v>Diffuser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Sheet1!$G$51:$G$76</c:f>
              <c:numCache>
                <c:formatCode>0.0000</c:formatCode>
                <c:ptCount val="26"/>
                <c:pt idx="0">
                  <c:v>2.829406910164459</c:v>
                </c:pt>
                <c:pt idx="1">
                  <c:v>2.7853543995029288</c:v>
                </c:pt>
                <c:pt idx="2">
                  <c:v>2.7453375103069444</c:v>
                </c:pt>
                <c:pt idx="3">
                  <c:v>2.7082608929875702</c:v>
                </c:pt>
                <c:pt idx="4">
                  <c:v>2.6740674147566561</c:v>
                </c:pt>
                <c:pt idx="5">
                  <c:v>2.6427055096529539</c:v>
                </c:pt>
                <c:pt idx="6">
                  <c:v>2.6141291702700866</c:v>
                </c:pt>
                <c:pt idx="7">
                  <c:v>2.5882979514138982</c:v>
                </c:pt>
                <c:pt idx="8">
                  <c:v>2.5651769862160183</c:v>
                </c:pt>
                <c:pt idx="9">
                  <c:v>2.544737015273717</c:v>
                </c:pt>
                <c:pt idx="10">
                  <c:v>2.5269544294329438</c:v>
                </c:pt>
                <c:pt idx="11">
                  <c:v>2.5118113268819875</c:v>
                </c:pt>
                <c:pt idx="12">
                  <c:v>2.4992955852778378</c:v>
                </c:pt>
                <c:pt idx="13">
                  <c:v>2.489400949686551</c:v>
                </c:pt>
                <c:pt idx="14">
                  <c:v>2.4821271371828817</c:v>
                </c:pt>
                <c:pt idx="15">
                  <c:v>2.4774799590238161</c:v>
                </c:pt>
                <c:pt idx="16">
                  <c:v>2.4754714613858044</c:v>
                </c:pt>
                <c:pt idx="17">
                  <c:v>2.4761200857368904</c:v>
                </c:pt>
                <c:pt idx="18">
                  <c:v>2.4794508500033308</c:v>
                </c:pt>
                <c:pt idx="19">
                  <c:v>2.485495551786205</c:v>
                </c:pt>
                <c:pt idx="20">
                  <c:v>2.4942929949876147</c:v>
                </c:pt>
                <c:pt idx="21">
                  <c:v>2.5058892413193137</c:v>
                </c:pt>
                <c:pt idx="22">
                  <c:v>2.5203378882896175</c:v>
                </c:pt>
                <c:pt idx="23">
                  <c:v>2.5377003753983645</c:v>
                </c:pt>
                <c:pt idx="24">
                  <c:v>2.5580463204155399</c:v>
                </c:pt>
                <c:pt idx="25">
                  <c:v>2.5814538877779984</c:v>
                </c:pt>
              </c:numCache>
            </c:numRef>
          </c:xVal>
          <c:yVal>
            <c:numRef>
              <c:f>Sheet1!$B$51:$B$76</c:f>
              <c:numCache>
                <c:formatCode>#,##0.000</c:formatCode>
                <c:ptCount val="26"/>
                <c:pt idx="0">
                  <c:v>0.25</c:v>
                </c:pt>
                <c:pt idx="1">
                  <c:v>0.25552422426821303</c:v>
                </c:pt>
                <c:pt idx="2">
                  <c:v>0.26088632787502836</c:v>
                </c:pt>
                <c:pt idx="3">
                  <c:v>0.2660650004055371</c:v>
                </c:pt>
                <c:pt idx="4">
                  <c:v>0.27103886686230422</c:v>
                </c:pt>
                <c:pt idx="5">
                  <c:v>0.27578663228311634</c:v>
                </c:pt>
                <c:pt idx="6">
                  <c:v>0.28028723371475411</c:v>
                </c:pt>
                <c:pt idx="7">
                  <c:v>0.28451999813823403</c:v>
                </c:pt>
                <c:pt idx="8">
                  <c:v>0.28846480475534381</c:v>
                </c:pt>
                <c:pt idx="9">
                  <c:v>0.29210224987724698</c:v>
                </c:pt>
                <c:pt idx="10">
                  <c:v>0.29541381250851356</c:v>
                </c:pt>
                <c:pt idx="11">
                  <c:v>0.29838201859907831</c:v>
                </c:pt>
                <c:pt idx="12">
                  <c:v>0.30099060184695026</c:v>
                </c:pt>
                <c:pt idx="13">
                  <c:v>0.30322465888004413</c:v>
                </c:pt>
                <c:pt idx="14">
                  <c:v>0.30507079662974962</c:v>
                </c:pt>
                <c:pt idx="15">
                  <c:v>0.30651726973435173</c:v>
                </c:pt>
                <c:pt idx="16">
                  <c:v>0.30755410587882159</c:v>
                </c:pt>
                <c:pt idx="17">
                  <c:v>0.30817321708937334</c:v>
                </c:pt>
                <c:pt idx="18">
                  <c:v>0.30836849515591941</c:v>
                </c:pt>
                <c:pt idx="19">
                  <c:v>0.30813588955137744</c:v>
                </c:pt>
                <c:pt idx="20">
                  <c:v>0.30747346645068691</c:v>
                </c:pt>
                <c:pt idx="21">
                  <c:v>0.30638144772022624</c:v>
                </c:pt>
                <c:pt idx="22">
                  <c:v>0.30486222904487703</c:v>
                </c:pt>
                <c:pt idx="23">
                  <c:v>0.30292037667906863</c:v>
                </c:pt>
                <c:pt idx="24">
                  <c:v>0.30056260264283169</c:v>
                </c:pt>
                <c:pt idx="25">
                  <c:v>0.29779771852666392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F2-0B4C-A58E-C7D164296603}"/>
            </c:ext>
          </c:extLst>
        </c:ser>
        <c:ser>
          <c:idx val="0"/>
          <c:order val="1"/>
          <c:tx>
            <c:strRef>
              <c:f>Sheet1!$B$78</c:f>
              <c:strCache>
                <c:ptCount val="1"/>
                <c:pt idx="0">
                  <c:v>Compressor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Sheet1!$G$80:$G$105</c:f>
              <c:numCache>
                <c:formatCode>0.0000</c:formatCode>
                <c:ptCount val="26"/>
                <c:pt idx="0">
                  <c:v>2.5814538877779984</c:v>
                </c:pt>
                <c:pt idx="1">
                  <c:v>2.0261740742360601</c:v>
                </c:pt>
                <c:pt idx="2">
                  <c:v>1.6841524666905758</c:v>
                </c:pt>
                <c:pt idx="3">
                  <c:v>1.4528955695387038</c:v>
                </c:pt>
                <c:pt idx="4">
                  <c:v>1.2846145116165792</c:v>
                </c:pt>
                <c:pt idx="5">
                  <c:v>1.1558515685979884</c:v>
                </c:pt>
                <c:pt idx="6">
                  <c:v>1.0536572702600733</c:v>
                </c:pt>
                <c:pt idx="7">
                  <c:v>0.97026100690086248</c:v>
                </c:pt>
                <c:pt idx="8">
                  <c:v>0.90069886542370692</c:v>
                </c:pt>
                <c:pt idx="9">
                  <c:v>0.84164151347904248</c:v>
                </c:pt>
                <c:pt idx="10">
                  <c:v>0.79076694303150685</c:v>
                </c:pt>
                <c:pt idx="11">
                  <c:v>0.74640292085600934</c:v>
                </c:pt>
                <c:pt idx="12">
                  <c:v>0.70731244999191756</c:v>
                </c:pt>
                <c:pt idx="13">
                  <c:v>0.67255944410846547</c:v>
                </c:pt>
                <c:pt idx="14">
                  <c:v>0.64142154885309288</c:v>
                </c:pt>
                <c:pt idx="15">
                  <c:v>0.6133317962488043</c:v>
                </c:pt>
                <c:pt idx="16">
                  <c:v>0.58783850308459318</c:v>
                </c:pt>
                <c:pt idx="17">
                  <c:v>0.56457705971573213</c:v>
                </c:pt>
                <c:pt idx="18">
                  <c:v>0.54324967204991792</c:v>
                </c:pt>
                <c:pt idx="19">
                  <c:v>0.52361054668690565</c:v>
                </c:pt>
                <c:pt idx="20">
                  <c:v>0.50545487829085145</c:v>
                </c:pt>
                <c:pt idx="21">
                  <c:v>0.48861054209895277</c:v>
                </c:pt>
                <c:pt idx="22">
                  <c:v>0.47293174311878694</c:v>
                </c:pt>
                <c:pt idx="23">
                  <c:v>0.45829410202684229</c:v>
                </c:pt>
                <c:pt idx="24">
                  <c:v>0.44459081047533433</c:v>
                </c:pt>
                <c:pt idx="25">
                  <c:v>0.43172959242287867</c:v>
                </c:pt>
              </c:numCache>
            </c:numRef>
          </c:xVal>
          <c:yVal>
            <c:numRef>
              <c:f>Sheet1!$B$80:$B$105</c:f>
              <c:numCache>
                <c:formatCode>#,##0.000</c:formatCode>
                <c:ptCount val="26"/>
                <c:pt idx="0">
                  <c:v>0.29779771852666392</c:v>
                </c:pt>
                <c:pt idx="1">
                  <c:v>0.41655944867509753</c:v>
                </c:pt>
                <c:pt idx="2">
                  <c:v>0.53532117882353114</c:v>
                </c:pt>
                <c:pt idx="3">
                  <c:v>0.65408290897196475</c:v>
                </c:pt>
                <c:pt idx="4">
                  <c:v>0.77284463912039836</c:v>
                </c:pt>
                <c:pt idx="5">
                  <c:v>0.89160636926883197</c:v>
                </c:pt>
                <c:pt idx="6">
                  <c:v>1.0103680994172655</c:v>
                </c:pt>
                <c:pt idx="7">
                  <c:v>1.1291298295656991</c:v>
                </c:pt>
                <c:pt idx="8">
                  <c:v>1.2478915597141327</c:v>
                </c:pt>
                <c:pt idx="9">
                  <c:v>1.3666532898625663</c:v>
                </c:pt>
                <c:pt idx="10">
                  <c:v>1.4854150200109999</c:v>
                </c:pt>
                <c:pt idx="11">
                  <c:v>1.6041767501594335</c:v>
                </c:pt>
                <c:pt idx="12">
                  <c:v>1.7229384803078671</c:v>
                </c:pt>
                <c:pt idx="13">
                  <c:v>1.8417002104563007</c:v>
                </c:pt>
                <c:pt idx="14">
                  <c:v>1.9604619406047343</c:v>
                </c:pt>
                <c:pt idx="15">
                  <c:v>2.0792236707531679</c:v>
                </c:pt>
                <c:pt idx="16">
                  <c:v>2.1979854009016013</c:v>
                </c:pt>
                <c:pt idx="17">
                  <c:v>2.3167471310500347</c:v>
                </c:pt>
                <c:pt idx="18">
                  <c:v>2.4355088611984681</c:v>
                </c:pt>
                <c:pt idx="19">
                  <c:v>2.5542705913469015</c:v>
                </c:pt>
                <c:pt idx="20">
                  <c:v>2.6730323214953349</c:v>
                </c:pt>
                <c:pt idx="21">
                  <c:v>2.7917940516437683</c:v>
                </c:pt>
                <c:pt idx="22">
                  <c:v>2.9105557817922016</c:v>
                </c:pt>
                <c:pt idx="23">
                  <c:v>3.029317511940635</c:v>
                </c:pt>
                <c:pt idx="24">
                  <c:v>3.1480792420890684</c:v>
                </c:pt>
                <c:pt idx="25">
                  <c:v>3.2668409722375036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F2-0B4C-A58E-C7D164296603}"/>
            </c:ext>
          </c:extLst>
        </c:ser>
        <c:ser>
          <c:idx val="1"/>
          <c:order val="2"/>
          <c:tx>
            <c:strRef>
              <c:f>Sheet1!$B$107</c:f>
              <c:strCache>
                <c:ptCount val="1"/>
                <c:pt idx="0">
                  <c:v>Combustor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Sheet1!$G$109:$G$134</c:f>
              <c:numCache>
                <c:formatCode>0.0000</c:formatCode>
                <c:ptCount val="26"/>
                <c:pt idx="0">
                  <c:v>0.43172959242287867</c:v>
                </c:pt>
                <c:pt idx="1">
                  <c:v>0.45813185213102481</c:v>
                </c:pt>
                <c:pt idx="2">
                  <c:v>0.48457642315280597</c:v>
                </c:pt>
                <c:pt idx="3">
                  <c:v>0.51106340727967414</c:v>
                </c:pt>
                <c:pt idx="4">
                  <c:v>0.53759290662985981</c:v>
                </c:pt>
                <c:pt idx="5">
                  <c:v>0.56416502364968457</c:v>
                </c:pt>
                <c:pt idx="6">
                  <c:v>0.59077986111487857</c:v>
                </c:pt>
                <c:pt idx="7">
                  <c:v>0.61743752213190717</c:v>
                </c:pt>
                <c:pt idx="8">
                  <c:v>0.64413811013930145</c:v>
                </c:pt>
                <c:pt idx="9">
                  <c:v>0.67088172890899611</c:v>
                </c:pt>
                <c:pt idx="10">
                  <c:v>0.69766848254767422</c:v>
                </c:pt>
                <c:pt idx="11">
                  <c:v>0.72449847549811763</c:v>
                </c:pt>
                <c:pt idx="12">
                  <c:v>0.75137181254056506</c:v>
                </c:pt>
                <c:pt idx="13">
                  <c:v>0.7782885987940753</c:v>
                </c:pt>
                <c:pt idx="14">
                  <c:v>0.80524893971789901</c:v>
                </c:pt>
                <c:pt idx="15">
                  <c:v>0.83225294111285408</c:v>
                </c:pt>
                <c:pt idx="16">
                  <c:v>0.85930070912271195</c:v>
                </c:pt>
                <c:pt idx="17">
                  <c:v>0.88639235023558682</c:v>
                </c:pt>
                <c:pt idx="18">
                  <c:v>0.91352797128533292</c:v>
                </c:pt>
                <c:pt idx="19">
                  <c:v>0.94070767945295053</c:v>
                </c:pt>
                <c:pt idx="20">
                  <c:v>0.96793158226799514</c:v>
                </c:pt>
                <c:pt idx="21">
                  <c:v>0.99519978760999672</c:v>
                </c:pt>
                <c:pt idx="22">
                  <c:v>1.0225124037098843</c:v>
                </c:pt>
                <c:pt idx="23">
                  <c:v>1.0498695391514179</c:v>
                </c:pt>
                <c:pt idx="24">
                  <c:v>1.0772713028726277</c:v>
                </c:pt>
                <c:pt idx="25">
                  <c:v>1.1047178041672594</c:v>
                </c:pt>
              </c:numCache>
            </c:numRef>
          </c:xVal>
          <c:yVal>
            <c:numRef>
              <c:f>Sheet1!$B$109:$B$134</c:f>
              <c:numCache>
                <c:formatCode>#,##0.000</c:formatCode>
                <c:ptCount val="26"/>
                <c:pt idx="0">
                  <c:v>3.2668409722375036</c:v>
                </c:pt>
                <c:pt idx="1">
                  <c:v>3.2642274994597136</c:v>
                </c:pt>
                <c:pt idx="2">
                  <c:v>3.2616140266819236</c:v>
                </c:pt>
                <c:pt idx="3">
                  <c:v>3.2590005539041336</c:v>
                </c:pt>
                <c:pt idx="4">
                  <c:v>3.2563870811263436</c:v>
                </c:pt>
                <c:pt idx="5">
                  <c:v>3.2537736083485536</c:v>
                </c:pt>
                <c:pt idx="6">
                  <c:v>3.2511601355707636</c:v>
                </c:pt>
                <c:pt idx="7">
                  <c:v>3.2485466627929735</c:v>
                </c:pt>
                <c:pt idx="8">
                  <c:v>3.2459331900151835</c:v>
                </c:pt>
                <c:pt idx="9">
                  <c:v>3.2433197172373935</c:v>
                </c:pt>
                <c:pt idx="10">
                  <c:v>3.2407062444596035</c:v>
                </c:pt>
                <c:pt idx="11">
                  <c:v>3.2380927716818135</c:v>
                </c:pt>
                <c:pt idx="12">
                  <c:v>3.2354792989040235</c:v>
                </c:pt>
                <c:pt idx="13">
                  <c:v>3.2328658261262335</c:v>
                </c:pt>
                <c:pt idx="14">
                  <c:v>3.2302523533484435</c:v>
                </c:pt>
                <c:pt idx="15">
                  <c:v>3.2276388805706535</c:v>
                </c:pt>
                <c:pt idx="16">
                  <c:v>3.2250254077928635</c:v>
                </c:pt>
                <c:pt idx="17">
                  <c:v>3.2224119350150735</c:v>
                </c:pt>
                <c:pt idx="18">
                  <c:v>3.2197984622372835</c:v>
                </c:pt>
                <c:pt idx="19">
                  <c:v>3.2171849894594935</c:v>
                </c:pt>
                <c:pt idx="20">
                  <c:v>3.2145715166817035</c:v>
                </c:pt>
                <c:pt idx="21">
                  <c:v>3.2119580439039135</c:v>
                </c:pt>
                <c:pt idx="22">
                  <c:v>3.2093445711261235</c:v>
                </c:pt>
                <c:pt idx="23">
                  <c:v>3.2067310983483335</c:v>
                </c:pt>
                <c:pt idx="24">
                  <c:v>3.2041176255705435</c:v>
                </c:pt>
                <c:pt idx="25">
                  <c:v>3.2015041527927535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F2-0B4C-A58E-C7D164296603}"/>
            </c:ext>
          </c:extLst>
        </c:ser>
        <c:ser>
          <c:idx val="2"/>
          <c:order val="3"/>
          <c:tx>
            <c:strRef>
              <c:f>Sheet1!$B$136</c:f>
              <c:strCache>
                <c:ptCount val="1"/>
                <c:pt idx="0">
                  <c:v>Turbine (comp)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Sheet1!$G$138:$G$163</c:f>
              <c:numCache>
                <c:formatCode>0.0000</c:formatCode>
                <c:ptCount val="26"/>
                <c:pt idx="0">
                  <c:v>1.1047178041672594</c:v>
                </c:pt>
                <c:pt idx="1">
                  <c:v>1.1338961714420703</c:v>
                </c:pt>
                <c:pt idx="2">
                  <c:v>1.1623836465858208</c:v>
                </c:pt>
                <c:pt idx="3">
                  <c:v>1.1919496214507919</c:v>
                </c:pt>
                <c:pt idx="4">
                  <c:v>1.2226424973034737</c:v>
                </c:pt>
                <c:pt idx="5">
                  <c:v>1.2545131807795622</c:v>
                </c:pt>
                <c:pt idx="6">
                  <c:v>1.2876152286570919</c:v>
                </c:pt>
                <c:pt idx="7">
                  <c:v>1.322005001809635</c:v>
                </c:pt>
                <c:pt idx="8">
                  <c:v>1.3577418289701035</c:v>
                </c:pt>
                <c:pt idx="9">
                  <c:v>1.3948881809821387</c:v>
                </c:pt>
                <c:pt idx="10">
                  <c:v>1.4335098562662059</c:v>
                </c:pt>
                <c:pt idx="11">
                  <c:v>1.4736761782815488</c:v>
                </c:pt>
                <c:pt idx="12">
                  <c:v>1.5154602058235109</c:v>
                </c:pt>
                <c:pt idx="13">
                  <c:v>1.5589389570587082</c:v>
                </c:pt>
                <c:pt idx="14">
                  <c:v>1.6041936482685142</c:v>
                </c:pt>
                <c:pt idx="15">
                  <c:v>1.6513099483448126</c:v>
                </c:pt>
                <c:pt idx="16">
                  <c:v>1.7003782501612905</c:v>
                </c:pt>
                <c:pt idx="17">
                  <c:v>1.7514939600293766</c:v>
                </c:pt>
                <c:pt idx="18">
                  <c:v>1.804757806540626</c:v>
                </c:pt>
                <c:pt idx="19">
                  <c:v>1.8602761701977133</c:v>
                </c:pt>
                <c:pt idx="20">
                  <c:v>1.9181614353446743</c:v>
                </c:pt>
                <c:pt idx="21">
                  <c:v>1.9785323660245284</c:v>
                </c:pt>
                <c:pt idx="22">
                  <c:v>2.0415145075195302</c:v>
                </c:pt>
                <c:pt idx="23">
                  <c:v>2.1072406154670222</c:v>
                </c:pt>
                <c:pt idx="24">
                  <c:v>2.1758511145930322</c:v>
                </c:pt>
                <c:pt idx="25">
                  <c:v>2.247494589267367</c:v>
                </c:pt>
              </c:numCache>
            </c:numRef>
          </c:xVal>
          <c:yVal>
            <c:numRef>
              <c:f>Sheet1!$B$138:$B$163</c:f>
              <c:numCache>
                <c:formatCode>#,##0.000</c:formatCode>
                <c:ptCount val="26"/>
                <c:pt idx="0">
                  <c:v>3.2015041527927535</c:v>
                </c:pt>
                <c:pt idx="1">
                  <c:v>3.0970069932932351</c:v>
                </c:pt>
                <c:pt idx="2">
                  <c:v>2.9950513243883301</c:v>
                </c:pt>
                <c:pt idx="3">
                  <c:v>2.8956054706470429</c:v>
                </c:pt>
                <c:pt idx="4">
                  <c:v>2.7986372508439916</c:v>
                </c:pt>
                <c:pt idx="5">
                  <c:v>2.7041140039613967</c:v>
                </c:pt>
                <c:pt idx="6">
                  <c:v>2.6120026154558413</c:v>
                </c:pt>
                <c:pt idx="7">
                  <c:v>2.5222695437574774</c:v>
                </c:pt>
                <c:pt idx="8">
                  <c:v>2.4348808469688956</c:v>
                </c:pt>
                <c:pt idx="9">
                  <c:v>2.3498022097305609</c:v>
                </c:pt>
                <c:pt idx="10">
                  <c:v>2.2669989702193734</c:v>
                </c:pt>
                <c:pt idx="11">
                  <c:v>2.1864361472467264</c:v>
                </c:pt>
                <c:pt idx="12">
                  <c:v>2.1080784674222306</c:v>
                </c:pt>
                <c:pt idx="13">
                  <c:v>2.0318903923491636</c:v>
                </c:pt>
                <c:pt idx="14">
                  <c:v>1.9578361458177087</c:v>
                </c:pt>
                <c:pt idx="15">
                  <c:v>1.8858797409620018</c:v>
                </c:pt>
                <c:pt idx="16">
                  <c:v>1.8159850073471553</c:v>
                </c:pt>
                <c:pt idx="17">
                  <c:v>1.7481156179525432</c:v>
                </c:pt>
                <c:pt idx="18">
                  <c:v>1.6822351160178881</c:v>
                </c:pt>
                <c:pt idx="19">
                  <c:v>1.6183069417189413</c:v>
                </c:pt>
                <c:pt idx="20">
                  <c:v>1.5562944586399452</c:v>
                </c:pt>
                <c:pt idx="21">
                  <c:v>1.4961609800104487</c:v>
                </c:pt>
                <c:pt idx="22">
                  <c:v>1.4378697946745596</c:v>
                </c:pt>
                <c:pt idx="23">
                  <c:v>1.381384192761256</c:v>
                </c:pt>
                <c:pt idx="24">
                  <c:v>1.3266674910249905</c:v>
                </c:pt>
                <c:pt idx="25">
                  <c:v>1.2736830578265042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BF2-0B4C-A58E-C7D164296603}"/>
            </c:ext>
          </c:extLst>
        </c:ser>
        <c:ser>
          <c:idx val="14"/>
          <c:order val="4"/>
          <c:tx>
            <c:strRef>
              <c:f>Sheet1!$B$165</c:f>
              <c:strCache>
                <c:ptCount val="1"/>
                <c:pt idx="0">
                  <c:v>Turbine (fan)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Sheet1!$G$167:$G$192</c:f>
              <c:numCache>
                <c:formatCode>0.0000</c:formatCode>
                <c:ptCount val="26"/>
                <c:pt idx="0">
                  <c:v>2.247494589267367</c:v>
                </c:pt>
                <c:pt idx="1">
                  <c:v>2.246209520938856</c:v>
                </c:pt>
                <c:pt idx="2">
                  <c:v>2.246209520938856</c:v>
                </c:pt>
                <c:pt idx="3">
                  <c:v>2.246209520938856</c:v>
                </c:pt>
                <c:pt idx="4">
                  <c:v>2.246209520938856</c:v>
                </c:pt>
                <c:pt idx="5">
                  <c:v>2.246209520938856</c:v>
                </c:pt>
                <c:pt idx="6">
                  <c:v>2.246209520938856</c:v>
                </c:pt>
                <c:pt idx="7">
                  <c:v>2.246209520938856</c:v>
                </c:pt>
                <c:pt idx="8">
                  <c:v>2.246209520938856</c:v>
                </c:pt>
                <c:pt idx="9">
                  <c:v>2.246209520938856</c:v>
                </c:pt>
                <c:pt idx="10">
                  <c:v>2.246209520938856</c:v>
                </c:pt>
                <c:pt idx="11">
                  <c:v>2.246209520938856</c:v>
                </c:pt>
                <c:pt idx="12">
                  <c:v>2.246209520938856</c:v>
                </c:pt>
                <c:pt idx="13">
                  <c:v>2.246209520938856</c:v>
                </c:pt>
                <c:pt idx="14">
                  <c:v>2.246209520938856</c:v>
                </c:pt>
                <c:pt idx="15">
                  <c:v>2.246209520938856</c:v>
                </c:pt>
                <c:pt idx="16">
                  <c:v>2.246209520938856</c:v>
                </c:pt>
                <c:pt idx="17">
                  <c:v>2.246209520938856</c:v>
                </c:pt>
                <c:pt idx="18">
                  <c:v>2.246209520938856</c:v>
                </c:pt>
                <c:pt idx="19">
                  <c:v>2.246209520938856</c:v>
                </c:pt>
                <c:pt idx="20">
                  <c:v>2.246209520938856</c:v>
                </c:pt>
                <c:pt idx="21">
                  <c:v>2.246209520938856</c:v>
                </c:pt>
                <c:pt idx="22">
                  <c:v>2.246209520938856</c:v>
                </c:pt>
                <c:pt idx="23">
                  <c:v>2.246209520938856</c:v>
                </c:pt>
                <c:pt idx="24">
                  <c:v>2.246209520938856</c:v>
                </c:pt>
                <c:pt idx="25">
                  <c:v>2.246209520938856</c:v>
                </c:pt>
              </c:numCache>
            </c:numRef>
          </c:xVal>
          <c:yVal>
            <c:numRef>
              <c:f>Sheet1!$B$167:$B$192</c:f>
              <c:numCache>
                <c:formatCode>#,##0.000</c:formatCode>
                <c:ptCount val="26"/>
                <c:pt idx="0">
                  <c:v>1.2736830578265042</c:v>
                </c:pt>
                <c:pt idx="1">
                  <c:v>1.2736830578265042</c:v>
                </c:pt>
                <c:pt idx="2">
                  <c:v>1.2736830578265042</c:v>
                </c:pt>
                <c:pt idx="3">
                  <c:v>1.2736830578265042</c:v>
                </c:pt>
                <c:pt idx="4">
                  <c:v>1.2736830578265042</c:v>
                </c:pt>
                <c:pt idx="5">
                  <c:v>1.2736830578265042</c:v>
                </c:pt>
                <c:pt idx="6">
                  <c:v>1.2736830578265042</c:v>
                </c:pt>
                <c:pt idx="7">
                  <c:v>1.2736830578265042</c:v>
                </c:pt>
                <c:pt idx="8">
                  <c:v>1.2736830578265042</c:v>
                </c:pt>
                <c:pt idx="9">
                  <c:v>1.2736830578265042</c:v>
                </c:pt>
                <c:pt idx="10">
                  <c:v>1.2736830578265042</c:v>
                </c:pt>
                <c:pt idx="11">
                  <c:v>1.2736830578265042</c:v>
                </c:pt>
                <c:pt idx="12">
                  <c:v>1.2736830578265042</c:v>
                </c:pt>
                <c:pt idx="13">
                  <c:v>1.2736830578265042</c:v>
                </c:pt>
                <c:pt idx="14">
                  <c:v>1.2736830578265042</c:v>
                </c:pt>
                <c:pt idx="15">
                  <c:v>1.2736830578265042</c:v>
                </c:pt>
                <c:pt idx="16">
                  <c:v>1.2736830578265042</c:v>
                </c:pt>
                <c:pt idx="17">
                  <c:v>1.2736830578265042</c:v>
                </c:pt>
                <c:pt idx="18">
                  <c:v>1.2736830578265042</c:v>
                </c:pt>
                <c:pt idx="19">
                  <c:v>1.2736830578265042</c:v>
                </c:pt>
                <c:pt idx="20">
                  <c:v>1.2736830578265042</c:v>
                </c:pt>
                <c:pt idx="21">
                  <c:v>1.2736830578265042</c:v>
                </c:pt>
                <c:pt idx="22">
                  <c:v>1.2736830578265042</c:v>
                </c:pt>
                <c:pt idx="23">
                  <c:v>1.2736830578265042</c:v>
                </c:pt>
                <c:pt idx="24">
                  <c:v>1.2736830578265042</c:v>
                </c:pt>
                <c:pt idx="25">
                  <c:v>1.2736830578265042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BF2-0B4C-A58E-C7D164296603}"/>
            </c:ext>
          </c:extLst>
        </c:ser>
        <c:ser>
          <c:idx val="6"/>
          <c:order val="5"/>
          <c:tx>
            <c:strRef>
              <c:f>Sheet1!$B$194</c:f>
              <c:strCache>
                <c:ptCount val="1"/>
                <c:pt idx="0">
                  <c:v>Afterburner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Sheet1!$G$196:$G$221</c:f>
              <c:numCache>
                <c:formatCode>0.0000</c:formatCode>
                <c:ptCount val="26"/>
                <c:pt idx="0">
                  <c:v>2.246209520938856</c:v>
                </c:pt>
                <c:pt idx="1">
                  <c:v>2.246209520938856</c:v>
                </c:pt>
                <c:pt idx="2">
                  <c:v>2.246209520938856</c:v>
                </c:pt>
                <c:pt idx="3">
                  <c:v>2.246209520938856</c:v>
                </c:pt>
                <c:pt idx="4">
                  <c:v>2.246209520938856</c:v>
                </c:pt>
                <c:pt idx="5">
                  <c:v>2.246209520938856</c:v>
                </c:pt>
                <c:pt idx="6">
                  <c:v>2.246209520938856</c:v>
                </c:pt>
                <c:pt idx="7">
                  <c:v>2.246209520938856</c:v>
                </c:pt>
                <c:pt idx="8">
                  <c:v>2.246209520938856</c:v>
                </c:pt>
                <c:pt idx="9">
                  <c:v>2.246209520938856</c:v>
                </c:pt>
                <c:pt idx="10">
                  <c:v>2.246209520938856</c:v>
                </c:pt>
                <c:pt idx="11">
                  <c:v>2.246209520938856</c:v>
                </c:pt>
                <c:pt idx="12">
                  <c:v>2.246209520938856</c:v>
                </c:pt>
                <c:pt idx="13">
                  <c:v>2.246209520938856</c:v>
                </c:pt>
                <c:pt idx="14">
                  <c:v>2.246209520938856</c:v>
                </c:pt>
                <c:pt idx="15">
                  <c:v>2.246209520938856</c:v>
                </c:pt>
                <c:pt idx="16">
                  <c:v>2.246209520938856</c:v>
                </c:pt>
                <c:pt idx="17">
                  <c:v>2.246209520938856</c:v>
                </c:pt>
                <c:pt idx="18">
                  <c:v>2.246209520938856</c:v>
                </c:pt>
                <c:pt idx="19">
                  <c:v>2.246209520938856</c:v>
                </c:pt>
                <c:pt idx="20">
                  <c:v>2.246209520938856</c:v>
                </c:pt>
                <c:pt idx="21">
                  <c:v>2.246209520938856</c:v>
                </c:pt>
                <c:pt idx="22">
                  <c:v>2.246209520938856</c:v>
                </c:pt>
                <c:pt idx="23">
                  <c:v>2.246209520938856</c:v>
                </c:pt>
                <c:pt idx="24">
                  <c:v>2.246209520938856</c:v>
                </c:pt>
                <c:pt idx="25">
                  <c:v>2.246209520938856</c:v>
                </c:pt>
              </c:numCache>
            </c:numRef>
          </c:xVal>
          <c:yVal>
            <c:numRef>
              <c:f>Sheet1!$B$196:$B$221</c:f>
              <c:numCache>
                <c:formatCode>#,##0.000</c:formatCode>
                <c:ptCount val="26"/>
                <c:pt idx="0">
                  <c:v>1.2736830578265042</c:v>
                </c:pt>
                <c:pt idx="1">
                  <c:v>1.2736830578265042</c:v>
                </c:pt>
                <c:pt idx="2">
                  <c:v>1.2736830578265042</c:v>
                </c:pt>
                <c:pt idx="3">
                  <c:v>1.2736830578265042</c:v>
                </c:pt>
                <c:pt idx="4">
                  <c:v>1.2736830578265042</c:v>
                </c:pt>
                <c:pt idx="5">
                  <c:v>1.2736830578265042</c:v>
                </c:pt>
                <c:pt idx="6">
                  <c:v>1.2736830578265042</c:v>
                </c:pt>
                <c:pt idx="7">
                  <c:v>1.2736830578265042</c:v>
                </c:pt>
                <c:pt idx="8">
                  <c:v>1.2736830578265042</c:v>
                </c:pt>
                <c:pt idx="9">
                  <c:v>1.2736830578265042</c:v>
                </c:pt>
                <c:pt idx="10">
                  <c:v>1.2736830578265042</c:v>
                </c:pt>
                <c:pt idx="11">
                  <c:v>1.2736830578265042</c:v>
                </c:pt>
                <c:pt idx="12">
                  <c:v>1.2736830578265042</c:v>
                </c:pt>
                <c:pt idx="13">
                  <c:v>1.2736830578265042</c:v>
                </c:pt>
                <c:pt idx="14">
                  <c:v>1.2736830578265042</c:v>
                </c:pt>
                <c:pt idx="15">
                  <c:v>1.2736830578265042</c:v>
                </c:pt>
                <c:pt idx="16">
                  <c:v>1.2736830578265042</c:v>
                </c:pt>
                <c:pt idx="17">
                  <c:v>1.2736830578265042</c:v>
                </c:pt>
                <c:pt idx="18">
                  <c:v>1.2736830578265042</c:v>
                </c:pt>
                <c:pt idx="19">
                  <c:v>1.2736830578265042</c:v>
                </c:pt>
                <c:pt idx="20">
                  <c:v>1.2736830578265042</c:v>
                </c:pt>
                <c:pt idx="21">
                  <c:v>1.2736830578265042</c:v>
                </c:pt>
                <c:pt idx="22">
                  <c:v>1.2736830578265042</c:v>
                </c:pt>
                <c:pt idx="23">
                  <c:v>1.2736830578265042</c:v>
                </c:pt>
                <c:pt idx="24">
                  <c:v>1.2736830578265042</c:v>
                </c:pt>
                <c:pt idx="25">
                  <c:v>1.2736830578265042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BF2-0B4C-A58E-C7D164296603}"/>
            </c:ext>
          </c:extLst>
        </c:ser>
        <c:ser>
          <c:idx val="3"/>
          <c:order val="6"/>
          <c:tx>
            <c:strRef>
              <c:f>Sheet1!$B$223</c:f>
              <c:strCache>
                <c:ptCount val="1"/>
                <c:pt idx="0">
                  <c:v>Nozzle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Sheet1!$G$225:$G$250</c:f>
              <c:numCache>
                <c:formatCode>0.0000</c:formatCode>
                <c:ptCount val="26"/>
                <c:pt idx="0">
                  <c:v>2.246209520938856</c:v>
                </c:pt>
                <c:pt idx="1">
                  <c:v>2.3021591544765383</c:v>
                </c:pt>
                <c:pt idx="2">
                  <c:v>2.3615400039379804</c:v>
                </c:pt>
                <c:pt idx="3">
                  <c:v>2.4246882913240606</c:v>
                </c:pt>
                <c:pt idx="4">
                  <c:v>2.4919868027950631</c:v>
                </c:pt>
                <c:pt idx="5">
                  <c:v>2.5638733592590168</c:v>
                </c:pt>
                <c:pt idx="6">
                  <c:v>2.6408512249684049</c:v>
                </c:pt>
                <c:pt idx="7">
                  <c:v>2.723501995886545</c:v>
                </c:pt>
                <c:pt idx="8">
                  <c:v>2.812501690898324</c:v>
                </c:pt>
                <c:pt idx="9">
                  <c:v>2.9086410218305634</c:v>
                </c:pt>
                <c:pt idx="10">
                  <c:v>3.0128511756790428</c:v>
                </c:pt>
                <c:pt idx="11">
                  <c:v>3.1262369549402584</c:v>
                </c:pt>
                <c:pt idx="12">
                  <c:v>3.2501198683685022</c:v>
                </c:pt>
                <c:pt idx="13">
                  <c:v>3.3860948703053602</c:v>
                </c:pt>
                <c:pt idx="14">
                  <c:v>3.5361061159605649</c:v>
                </c:pt>
                <c:pt idx="15">
                  <c:v>3.7025496721912807</c:v>
                </c:pt>
                <c:pt idx="16">
                  <c:v>3.888415178370781</c:v>
                </c:pt>
                <c:pt idx="17">
                  <c:v>4.0974850093453137</c:v>
                </c:pt>
                <c:pt idx="18">
                  <c:v>4.334620402970188</c:v>
                </c:pt>
                <c:pt idx="19">
                  <c:v>4.6061827616867008</c:v>
                </c:pt>
                <c:pt idx="20">
                  <c:v>4.9206717518776308</c:v>
                </c:pt>
                <c:pt idx="21">
                  <c:v>5.2897239451744333</c:v>
                </c:pt>
                <c:pt idx="22">
                  <c:v>5.7297370366489995</c:v>
                </c:pt>
                <c:pt idx="23">
                  <c:v>6.2646355934732192</c:v>
                </c:pt>
                <c:pt idx="24">
                  <c:v>6.93085065231418</c:v>
                </c:pt>
                <c:pt idx="25">
                  <c:v>7.7869285139335904</c:v>
                </c:pt>
              </c:numCache>
            </c:numRef>
          </c:xVal>
          <c:yVal>
            <c:numRef>
              <c:f>Sheet1!$B$225:$B$250</c:f>
              <c:numCache>
                <c:formatCode>#,##0.000</c:formatCode>
                <c:ptCount val="26"/>
                <c:pt idx="0">
                  <c:v>1.2736830578265042</c:v>
                </c:pt>
                <c:pt idx="1">
                  <c:v>1.2327357355134441</c:v>
                </c:pt>
                <c:pt idx="2">
                  <c:v>1.191788413200384</c:v>
                </c:pt>
                <c:pt idx="3">
                  <c:v>1.1508410908873239</c:v>
                </c:pt>
                <c:pt idx="4">
                  <c:v>1.1098937685742638</c:v>
                </c:pt>
                <c:pt idx="5">
                  <c:v>1.0689464462612037</c:v>
                </c:pt>
                <c:pt idx="6">
                  <c:v>1.0279991239481436</c:v>
                </c:pt>
                <c:pt idx="7">
                  <c:v>0.98705180163508344</c:v>
                </c:pt>
                <c:pt idx="8">
                  <c:v>0.94610447932202324</c:v>
                </c:pt>
                <c:pt idx="9">
                  <c:v>0.90515715700896304</c:v>
                </c:pt>
                <c:pt idx="10">
                  <c:v>0.86420983469590285</c:v>
                </c:pt>
                <c:pt idx="11">
                  <c:v>0.82326251238284265</c:v>
                </c:pt>
                <c:pt idx="12">
                  <c:v>0.78231519006978245</c:v>
                </c:pt>
                <c:pt idx="13">
                  <c:v>0.74136786775672225</c:v>
                </c:pt>
                <c:pt idx="14">
                  <c:v>0.70042054544366206</c:v>
                </c:pt>
                <c:pt idx="15">
                  <c:v>0.65947322313060186</c:v>
                </c:pt>
                <c:pt idx="16">
                  <c:v>0.61852590081754166</c:v>
                </c:pt>
                <c:pt idx="17">
                  <c:v>0.57757857850448147</c:v>
                </c:pt>
                <c:pt idx="18">
                  <c:v>0.53663125619142127</c:v>
                </c:pt>
                <c:pt idx="19">
                  <c:v>0.49568393387836107</c:v>
                </c:pt>
                <c:pt idx="20">
                  <c:v>0.45473661156530087</c:v>
                </c:pt>
                <c:pt idx="21">
                  <c:v>0.41378928925224068</c:v>
                </c:pt>
                <c:pt idx="22">
                  <c:v>0.37284196693918048</c:v>
                </c:pt>
                <c:pt idx="23">
                  <c:v>0.33189464462612028</c:v>
                </c:pt>
                <c:pt idx="24">
                  <c:v>0.29094732231306009</c:v>
                </c:pt>
                <c:pt idx="25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BF2-0B4C-A58E-C7D164296603}"/>
            </c:ext>
          </c:extLst>
        </c:ser>
        <c:ser>
          <c:idx val="5"/>
          <c:order val="7"/>
          <c:tx>
            <c:strRef>
              <c:f>Sheet1!$B$252</c:f>
              <c:strCache>
                <c:ptCount val="1"/>
                <c:pt idx="0">
                  <c:v>Close the cycle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none"/>
          </c:marker>
          <c:xVal>
            <c:numRef>
              <c:f>Sheet1!$G$254:$G$279</c:f>
              <c:numCache>
                <c:formatCode>0.0000</c:formatCode>
                <c:ptCount val="26"/>
                <c:pt idx="0">
                  <c:v>7.7869285139335904</c:v>
                </c:pt>
                <c:pt idx="1">
                  <c:v>7.4778948948669743</c:v>
                </c:pt>
                <c:pt idx="2">
                  <c:v>7.1811256464752047</c:v>
                </c:pt>
                <c:pt idx="3">
                  <c:v>6.8961340424645394</c:v>
                </c:pt>
                <c:pt idx="4">
                  <c:v>6.6224526728593176</c:v>
                </c:pt>
                <c:pt idx="5">
                  <c:v>6.3596326774106524</c:v>
                </c:pt>
                <c:pt idx="6">
                  <c:v>6.1072430094282355</c:v>
                </c:pt>
                <c:pt idx="7">
                  <c:v>5.8648697288278333</c:v>
                </c:pt>
                <c:pt idx="8">
                  <c:v>5.6321153232350758</c:v>
                </c:pt>
                <c:pt idx="9">
                  <c:v>5.4085980560320346</c:v>
                </c:pt>
                <c:pt idx="10">
                  <c:v>5.1939513402773638</c:v>
                </c:pt>
                <c:pt idx="11">
                  <c:v>4.9878231374731774</c:v>
                </c:pt>
                <c:pt idx="12">
                  <c:v>4.7898753801925738</c:v>
                </c:pt>
                <c:pt idx="13">
                  <c:v>4.5997834176208956</c:v>
                </c:pt>
                <c:pt idx="14">
                  <c:v>4.4172354831013427</c:v>
                </c:pt>
                <c:pt idx="15">
                  <c:v>4.2419321828116754</c:v>
                </c:pt>
                <c:pt idx="16">
                  <c:v>4.0735860047334027</c:v>
                </c:pt>
                <c:pt idx="17">
                  <c:v>3.9119208471081208</c:v>
                </c:pt>
                <c:pt idx="18">
                  <c:v>3.7566715656076184</c:v>
                </c:pt>
                <c:pt idx="19">
                  <c:v>3.6075835384750925</c:v>
                </c:pt>
                <c:pt idx="20">
                  <c:v>3.464412248924249</c:v>
                </c:pt>
                <c:pt idx="21">
                  <c:v>3.3269228841114025</c:v>
                </c:pt>
                <c:pt idx="22">
                  <c:v>3.1948899500228469</c:v>
                </c:pt>
                <c:pt idx="23">
                  <c:v>3.0680969016458861</c:v>
                </c:pt>
                <c:pt idx="24">
                  <c:v>2.9463357878169703</c:v>
                </c:pt>
                <c:pt idx="25">
                  <c:v>2.8294069101644626</c:v>
                </c:pt>
              </c:numCache>
            </c:numRef>
          </c:xVal>
          <c:yVal>
            <c:numRef>
              <c:f>Sheet1!$B$254:$B$279</c:f>
              <c:numCache>
                <c:formatCode>#,##0.000</c:formatCode>
                <c:ptCount val="2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BF2-0B4C-A58E-C7D164296603}"/>
            </c:ext>
          </c:extLst>
        </c:ser>
        <c:ser>
          <c:idx val="7"/>
          <c:order val="8"/>
          <c:tx>
            <c:v>1</c:v>
          </c:tx>
          <c:spPr>
            <a:ln w="28575">
              <a:noFill/>
            </a:ln>
          </c:spPr>
          <c:marker>
            <c:symbol val="square"/>
            <c:size val="8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Sheet1!$G$51</c:f>
              <c:numCache>
                <c:formatCode>0.0000</c:formatCode>
                <c:ptCount val="1"/>
                <c:pt idx="0">
                  <c:v>2.829406910164459</c:v>
                </c:pt>
              </c:numCache>
            </c:numRef>
          </c:xVal>
          <c:yVal>
            <c:numRef>
              <c:f>Sheet1!$B$51</c:f>
              <c:numCache>
                <c:formatCode>#,##0.000</c:formatCode>
                <c:ptCount val="1"/>
                <c:pt idx="0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BF2-0B4C-A58E-C7D164296603}"/>
            </c:ext>
          </c:extLst>
        </c:ser>
        <c:ser>
          <c:idx val="8"/>
          <c:order val="9"/>
          <c:tx>
            <c:v>2</c:v>
          </c:tx>
          <c:spPr>
            <a:ln w="28575">
              <a:noFill/>
            </a:ln>
          </c:spPr>
          <c:marker>
            <c:symbol val="diamond"/>
            <c:size val="8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xVal>
            <c:numRef>
              <c:f>Sheet1!$G$80</c:f>
              <c:numCache>
                <c:formatCode>0.0000</c:formatCode>
                <c:ptCount val="1"/>
                <c:pt idx="0">
                  <c:v>2.5814538877779984</c:v>
                </c:pt>
              </c:numCache>
            </c:numRef>
          </c:xVal>
          <c:yVal>
            <c:numRef>
              <c:f>Sheet1!$B$80</c:f>
              <c:numCache>
                <c:formatCode>#,##0.000</c:formatCode>
                <c:ptCount val="1"/>
                <c:pt idx="0">
                  <c:v>0.29779771852666392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BF2-0B4C-A58E-C7D164296603}"/>
            </c:ext>
          </c:extLst>
        </c:ser>
        <c:ser>
          <c:idx val="9"/>
          <c:order val="10"/>
          <c:tx>
            <c:v>3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Sheet1!$G$109</c:f>
              <c:numCache>
                <c:formatCode>0.0000</c:formatCode>
                <c:ptCount val="1"/>
                <c:pt idx="0">
                  <c:v>0.43172959242287867</c:v>
                </c:pt>
              </c:numCache>
            </c:numRef>
          </c:xVal>
          <c:yVal>
            <c:numRef>
              <c:f>Sheet1!$B$109</c:f>
              <c:numCache>
                <c:formatCode>#,##0.000</c:formatCode>
                <c:ptCount val="1"/>
                <c:pt idx="0">
                  <c:v>3.2668409722375036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BF2-0B4C-A58E-C7D164296603}"/>
            </c:ext>
          </c:extLst>
        </c:ser>
        <c:ser>
          <c:idx val="10"/>
          <c:order val="11"/>
          <c:tx>
            <c:v>4</c:v>
          </c:tx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Sheet1!$G$138</c:f>
              <c:numCache>
                <c:formatCode>0.0000</c:formatCode>
                <c:ptCount val="1"/>
                <c:pt idx="0">
                  <c:v>1.1047178041672594</c:v>
                </c:pt>
              </c:numCache>
            </c:numRef>
          </c:xVal>
          <c:yVal>
            <c:numRef>
              <c:f>Sheet1!$B$138</c:f>
              <c:numCache>
                <c:formatCode>#,##0.000</c:formatCode>
                <c:ptCount val="1"/>
                <c:pt idx="0">
                  <c:v>3.2015041527927535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BF2-0B4C-A58E-C7D164296603}"/>
            </c:ext>
          </c:extLst>
        </c:ser>
        <c:ser>
          <c:idx val="15"/>
          <c:order val="12"/>
          <c:tx>
            <c:v>5</c:v>
          </c:tx>
          <c:spPr>
            <a:ln w="28575">
              <a:noFill/>
            </a:ln>
          </c:spPr>
          <c:marker>
            <c:symbol val="square"/>
            <c:size val="8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Sheet1!$G$167</c:f>
              <c:numCache>
                <c:formatCode>0.0000</c:formatCode>
                <c:ptCount val="1"/>
                <c:pt idx="0">
                  <c:v>2.247494589267367</c:v>
                </c:pt>
              </c:numCache>
            </c:numRef>
          </c:xVal>
          <c:yVal>
            <c:numRef>
              <c:f>Sheet1!$B$167</c:f>
              <c:numCache>
                <c:formatCode>#,##0.000</c:formatCode>
                <c:ptCount val="1"/>
                <c:pt idx="0">
                  <c:v>1.2736830578265042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BF2-0B4C-A58E-C7D164296603}"/>
            </c:ext>
          </c:extLst>
        </c:ser>
        <c:ser>
          <c:idx val="11"/>
          <c:order val="13"/>
          <c:tx>
            <c:v>6</c:v>
          </c:tx>
          <c:spPr>
            <a:ln w="28575">
              <a:noFill/>
            </a:ln>
          </c:spPr>
          <c:marker>
            <c:symbol val="star"/>
            <c:size val="8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Sheet1!$G$196</c:f>
              <c:numCache>
                <c:formatCode>0.0000</c:formatCode>
                <c:ptCount val="1"/>
                <c:pt idx="0">
                  <c:v>2.246209520938856</c:v>
                </c:pt>
              </c:numCache>
            </c:numRef>
          </c:xVal>
          <c:yVal>
            <c:numRef>
              <c:f>Sheet1!$B$196</c:f>
              <c:numCache>
                <c:formatCode>#,##0.000</c:formatCode>
                <c:ptCount val="1"/>
                <c:pt idx="0">
                  <c:v>1.2736830578265042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BF2-0B4C-A58E-C7D164296603}"/>
            </c:ext>
          </c:extLst>
        </c:ser>
        <c:ser>
          <c:idx val="12"/>
          <c:order val="14"/>
          <c:tx>
            <c:v>7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Sheet1!$G$225</c:f>
              <c:numCache>
                <c:formatCode>0.0000</c:formatCode>
                <c:ptCount val="1"/>
                <c:pt idx="0">
                  <c:v>2.246209520938856</c:v>
                </c:pt>
              </c:numCache>
            </c:numRef>
          </c:xVal>
          <c:yVal>
            <c:numRef>
              <c:f>Sheet1!$B$225</c:f>
              <c:numCache>
                <c:formatCode>#,##0.000</c:formatCode>
                <c:ptCount val="1"/>
                <c:pt idx="0">
                  <c:v>1.2736830578265042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BF2-0B4C-A58E-C7D164296603}"/>
            </c:ext>
          </c:extLst>
        </c:ser>
        <c:ser>
          <c:idx val="13"/>
          <c:order val="15"/>
          <c:tx>
            <c:v>9</c:v>
          </c:tx>
          <c:spPr>
            <a:ln w="28575">
              <a:noFill/>
            </a:ln>
          </c:spPr>
          <c:marker>
            <c:symbol val="star"/>
            <c:size val="8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dPt>
            <c:idx val="0"/>
            <c:marker>
              <c:symbol val="triangle"/>
              <c:size val="8"/>
              <c:spPr>
                <a:noFill/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D4A-964E-9ABD-8896B73E4128}"/>
              </c:ext>
            </c:extLst>
          </c:dPt>
          <c:xVal>
            <c:numRef>
              <c:f>Sheet1!$G$250</c:f>
              <c:numCache>
                <c:formatCode>0.0000</c:formatCode>
                <c:ptCount val="1"/>
                <c:pt idx="0">
                  <c:v>7.7869285139335904</c:v>
                </c:pt>
              </c:numCache>
            </c:numRef>
          </c:xVal>
          <c:yVal>
            <c:numRef>
              <c:f>Sheet1!$B$250</c:f>
              <c:numCache>
                <c:formatCode>#,##0.000</c:formatCode>
                <c:ptCount val="1"/>
                <c:pt idx="0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BF2-0B4C-A58E-C7D164296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067832"/>
        <c:axId val="-2145838248"/>
      </c:scatterChart>
      <c:valAx>
        <c:axId val="-214606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1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  <a:p>
                <a:pPr>
                  <a:defRPr lang="ja-JP" sz="11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Specific volume (m^3/kg)</a:t>
                </a:r>
              </a:p>
            </c:rich>
          </c:tx>
          <c:layout>
            <c:manualLayout>
              <c:xMode val="edge"/>
              <c:yMode val="edge"/>
              <c:x val="0.36912802080059098"/>
              <c:y val="0.901408760662672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45838248"/>
        <c:crosses val="autoZero"/>
        <c:crossBetween val="midCat"/>
      </c:valAx>
      <c:valAx>
        <c:axId val="-2145838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 sz="11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Pressure (atm)</a:t>
                </a:r>
              </a:p>
            </c:rich>
          </c:tx>
          <c:layout>
            <c:manualLayout>
              <c:xMode val="edge"/>
              <c:yMode val="edge"/>
              <c:x val="1.5659976640025101E-2"/>
              <c:y val="0.425352258937699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460678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19953280050203E-2"/>
          <c:y val="1.1267609508283399E-2"/>
          <c:w val="0.96196999360154101"/>
          <c:h val="0.20845077590324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ja-JP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3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T-s diagram</a:t>
            </a:r>
          </a:p>
        </c:rich>
      </c:tx>
      <c:layout>
        <c:manualLayout>
          <c:xMode val="edge"/>
          <c:yMode val="edge"/>
          <c:x val="0.183158224225835"/>
          <c:y val="0.275281182053313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35423397628122"/>
          <c:y val="0.25280924882447198"/>
          <c:w val="0.77740989378784653"/>
          <c:h val="0.6179781637931539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Sheet1!$B$49</c:f>
              <c:strCache>
                <c:ptCount val="1"/>
                <c:pt idx="0">
                  <c:v>Diffuser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Sheet1!$K$51:$K$76</c:f>
              <c:numCache>
                <c:formatCode>0.0</c:formatCode>
                <c:ptCount val="26"/>
                <c:pt idx="0">
                  <c:v>0</c:v>
                </c:pt>
                <c:pt idx="1">
                  <c:v>1.3920691427978591</c:v>
                </c:pt>
                <c:pt idx="2">
                  <c:v>3.2604691507435852</c:v>
                </c:pt>
                <c:pt idx="3">
                  <c:v>5.1519761060096094</c:v>
                </c:pt>
                <c:pt idx="4">
                  <c:v>7.0668587348218743</c:v>
                </c:pt>
                <c:pt idx="5">
                  <c:v>9.0053937613910193</c:v>
                </c:pt>
                <c:pt idx="6">
                  <c:v>10.967866160866265</c:v>
                </c:pt>
                <c:pt idx="7">
                  <c:v>12.954569423034592</c:v>
                </c:pt>
                <c:pt idx="8">
                  <c:v>14.965805827300528</c:v>
                </c:pt>
                <c:pt idx="9">
                  <c:v>17.00188672953356</c:v>
                </c:pt>
                <c:pt idx="10">
                  <c:v>19.06313286139666</c:v>
                </c:pt>
                <c:pt idx="11">
                  <c:v>21.149874642801947</c:v>
                </c:pt>
                <c:pt idx="12">
                  <c:v>23.262452508190343</c:v>
                </c:pt>
                <c:pt idx="13">
                  <c:v>25.40121724736705</c:v>
                </c:pt>
                <c:pt idx="14">
                  <c:v>27.566530361674424</c:v>
                </c:pt>
                <c:pt idx="15">
                  <c:v>29.758764436326814</c:v>
                </c:pt>
                <c:pt idx="16">
                  <c:v>31.978303529797842</c:v>
                </c:pt>
                <c:pt idx="17">
                  <c:v>34.225543581190223</c:v>
                </c:pt>
                <c:pt idx="18">
                  <c:v>36.500892836593856</c:v>
                </c:pt>
                <c:pt idx="19">
                  <c:v>38.804772295494423</c:v>
                </c:pt>
                <c:pt idx="20">
                  <c:v>41.137616178367963</c:v>
                </c:pt>
                <c:pt idx="21">
                  <c:v>43.499872416672503</c:v>
                </c:pt>
                <c:pt idx="22">
                  <c:v>45.89200316653352</c:v>
                </c:pt>
                <c:pt idx="23">
                  <c:v>48.314485347495932</c:v>
                </c:pt>
                <c:pt idx="24">
                  <c:v>50.767811207823513</c:v>
                </c:pt>
                <c:pt idx="25">
                  <c:v>53.252488917925021</c:v>
                </c:pt>
              </c:numCache>
            </c:numRef>
          </c:xVal>
          <c:yVal>
            <c:numRef>
              <c:f>Sheet1!$D$51:$D$76</c:f>
              <c:numCache>
                <c:formatCode>0.0</c:formatCode>
                <c:ptCount val="26"/>
                <c:pt idx="0">
                  <c:v>250</c:v>
                </c:pt>
                <c:pt idx="1">
                  <c:v>251.54583446029375</c:v>
                </c:pt>
                <c:pt idx="2">
                  <c:v>253.13468319758977</c:v>
                </c:pt>
                <c:pt idx="3">
                  <c:v>254.67296096663412</c:v>
                </c:pt>
                <c:pt idx="4">
                  <c:v>256.15834873568184</c:v>
                </c:pt>
                <c:pt idx="5">
                  <c:v>257.58856034633141</c:v>
                </c:pt>
                <c:pt idx="6">
                  <c:v>258.96135019528157</c:v>
                </c:pt>
                <c:pt idx="7">
                  <c:v>260.27452102132349</c:v>
                </c:pt>
                <c:pt idx="8">
                  <c:v>261.52593175390763</c:v>
                </c:pt>
                <c:pt idx="9">
                  <c:v>262.71350537705354</c:v>
                </c:pt>
                <c:pt idx="10">
                  <c:v>263.83523676015602</c:v>
                </c:pt>
                <c:pt idx="11">
                  <c:v>264.8892004054353</c:v>
                </c:pt>
                <c:pt idx="12">
                  <c:v>265.8735580604336</c:v>
                </c:pt>
                <c:pt idx="13">
                  <c:v>266.78656614310984</c:v>
                </c:pt>
                <c:pt idx="14">
                  <c:v>267.62658292676895</c:v>
                </c:pt>
                <c:pt idx="15">
                  <c:v>268.39207543230827</c:v>
                </c:pt>
                <c:pt idx="16">
                  <c:v>269.08162597609481</c:v>
                </c:pt>
                <c:pt idx="17">
                  <c:v>269.6939383232081</c:v>
                </c:pt>
                <c:pt idx="18">
                  <c:v>270.22784339780628</c:v>
                </c:pt>
                <c:pt idx="19">
                  <c:v>270.68230450498118</c:v>
                </c:pt>
                <c:pt idx="20">
                  <c:v>271.0564220216491</c:v>
                </c:pt>
                <c:pt idx="21">
                  <c:v>271.34943751774642</c:v>
                </c:pt>
                <c:pt idx="22">
                  <c:v>271.56073727322962</c:v>
                </c:pt>
                <c:pt idx="23">
                  <c:v>271.68985516106085</c:v>
                </c:pt>
                <c:pt idx="24">
                  <c:v>271.73647487145081</c:v>
                </c:pt>
                <c:pt idx="25">
                  <c:v>271.70043145805113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26-EB44-94EF-1FF49E5A5BE4}"/>
            </c:ext>
          </c:extLst>
        </c:ser>
        <c:ser>
          <c:idx val="0"/>
          <c:order val="1"/>
          <c:tx>
            <c:strRef>
              <c:f>Sheet1!$B$78</c:f>
              <c:strCache>
                <c:ptCount val="1"/>
                <c:pt idx="0">
                  <c:v>Compressor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Sheet1!$K$80:$K$105</c:f>
              <c:numCache>
                <c:formatCode>0.0</c:formatCode>
                <c:ptCount val="26"/>
                <c:pt idx="0">
                  <c:v>53.252488917925021</c:v>
                </c:pt>
                <c:pt idx="1">
                  <c:v>73.082099268160761</c:v>
                </c:pt>
                <c:pt idx="2">
                  <c:v>83.101694274379071</c:v>
                </c:pt>
                <c:pt idx="3">
                  <c:v>91.083222158487672</c:v>
                </c:pt>
                <c:pt idx="4">
                  <c:v>97.595046074568586</c:v>
                </c:pt>
                <c:pt idx="5">
                  <c:v>102.983840138392</c:v>
                </c:pt>
                <c:pt idx="6">
                  <c:v>107.47920887294572</c:v>
                </c:pt>
                <c:pt idx="7">
                  <c:v>111.24243678645587</c:v>
                </c:pt>
                <c:pt idx="8">
                  <c:v>114.39193774760452</c:v>
                </c:pt>
                <c:pt idx="9">
                  <c:v>117.01769696409195</c:v>
                </c:pt>
                <c:pt idx="10">
                  <c:v>119.19000947062119</c:v>
                </c:pt>
                <c:pt idx="11">
                  <c:v>120.96504403460983</c:v>
                </c:pt>
                <c:pt idx="12">
                  <c:v>122.38853595620776</c:v>
                </c:pt>
                <c:pt idx="13">
                  <c:v>123.49832405690472</c:v>
                </c:pt>
                <c:pt idx="14">
                  <c:v>124.32614516564615</c:v>
                </c:pt>
                <c:pt idx="15">
                  <c:v>124.8989354847439</c:v>
                </c:pt>
                <c:pt idx="16">
                  <c:v>125.23979496018012</c:v>
                </c:pt>
                <c:pt idx="17">
                  <c:v>125.36871555650157</c:v>
                </c:pt>
                <c:pt idx="18">
                  <c:v>125.30314047998627</c:v>
                </c:pt>
                <c:pt idx="19">
                  <c:v>125.05839999812179</c:v>
                </c:pt>
                <c:pt idx="20">
                  <c:v>124.64805561587571</c:v>
                </c:pt>
                <c:pt idx="21">
                  <c:v>124.08417513805705</c:v>
                </c:pt>
                <c:pt idx="22">
                  <c:v>123.37755487904985</c:v>
                </c:pt>
                <c:pt idx="23">
                  <c:v>122.5379009427669</c:v>
                </c:pt>
                <c:pt idx="24">
                  <c:v>121.57397844028469</c:v>
                </c:pt>
                <c:pt idx="25">
                  <c:v>120.49373532656057</c:v>
                </c:pt>
              </c:numCache>
            </c:numRef>
          </c:xVal>
          <c:yVal>
            <c:numRef>
              <c:f>Sheet1!$D$80:$D$105</c:f>
              <c:numCache>
                <c:formatCode>0.0</c:formatCode>
                <c:ptCount val="26"/>
                <c:pt idx="0">
                  <c:v>271.70043145805113</c:v>
                </c:pt>
                <c:pt idx="1">
                  <c:v>298.30348977075579</c:v>
                </c:pt>
                <c:pt idx="2">
                  <c:v>318.64009398879773</c:v>
                </c:pt>
                <c:pt idx="3">
                  <c:v>335.8704459024305</c:v>
                </c:pt>
                <c:pt idx="4">
                  <c:v>350.88888596141697</c:v>
                </c:pt>
                <c:pt idx="5">
                  <c:v>364.23344298379317</c:v>
                </c:pt>
                <c:pt idx="6">
                  <c:v>376.2561297795005</c:v>
                </c:pt>
                <c:pt idx="7">
                  <c:v>387.20151612711504</c:v>
                </c:pt>
                <c:pt idx="8">
                  <c:v>397.24739059925759</c:v>
                </c:pt>
                <c:pt idx="9">
                  <c:v>406.52765042345419</c:v>
                </c:pt>
                <c:pt idx="10">
                  <c:v>415.14604714063859</c:v>
                </c:pt>
                <c:pt idx="11">
                  <c:v>423.18487580802065</c:v>
                </c:pt>
                <c:pt idx="12">
                  <c:v>430.71070241398206</c:v>
                </c:pt>
                <c:pt idx="13">
                  <c:v>437.7782726511179</c:v>
                </c:pt>
                <c:pt idx="14">
                  <c:v>444.43325910204197</c:v>
                </c:pt>
                <c:pt idx="15">
                  <c:v>450.71424127961473</c:v>
                </c:pt>
                <c:pt idx="16">
                  <c:v>456.65416424415463</c:v>
                </c:pt>
                <c:pt idx="17">
                  <c:v>462.28143384192845</c:v>
                </c:pt>
                <c:pt idx="18">
                  <c:v>467.62075308702515</c:v>
                </c:pt>
                <c:pt idx="19">
                  <c:v>472.69377052722979</c:v>
                </c:pt>
                <c:pt idx="20">
                  <c:v>477.51958966213323</c:v>
                </c:pt>
                <c:pt idx="21">
                  <c:v>482.11517406770076</c:v>
                </c:pt>
                <c:pt idx="22">
                  <c:v>486.49567313293977</c:v>
                </c:pt>
                <c:pt idx="23">
                  <c:v>490.6746865930026</c:v>
                </c:pt>
                <c:pt idx="24">
                  <c:v>494.6644813275031</c:v>
                </c:pt>
                <c:pt idx="25">
                  <c:v>498.47617053161127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26-EB44-94EF-1FF49E5A5BE4}"/>
            </c:ext>
          </c:extLst>
        </c:ser>
        <c:ser>
          <c:idx val="1"/>
          <c:order val="2"/>
          <c:tx>
            <c:strRef>
              <c:f>Sheet1!$B$107</c:f>
              <c:strCache>
                <c:ptCount val="1"/>
                <c:pt idx="0">
                  <c:v>Combustor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Sheet1!$K$109:$K$134</c:f>
              <c:numCache>
                <c:formatCode>0.0</c:formatCode>
                <c:ptCount val="26"/>
                <c:pt idx="0">
                  <c:v>120.49373532656057</c:v>
                </c:pt>
                <c:pt idx="1">
                  <c:v>193.47014235495794</c:v>
                </c:pt>
                <c:pt idx="2">
                  <c:v>262.42149104102918</c:v>
                </c:pt>
                <c:pt idx="3">
                  <c:v>327.76997310751369</c:v>
                </c:pt>
                <c:pt idx="4">
                  <c:v>389.87465414107533</c:v>
                </c:pt>
                <c:pt idx="5">
                  <c:v>449.04346322708216</c:v>
                </c:pt>
                <c:pt idx="6">
                  <c:v>505.54246464441053</c:v>
                </c:pt>
                <c:pt idx="7">
                  <c:v>559.60311902168826</c:v>
                </c:pt>
                <c:pt idx="8">
                  <c:v>611.42803545513323</c:v>
                </c:pt>
                <c:pt idx="9">
                  <c:v>661.19557595389529</c:v>
                </c:pt>
                <c:pt idx="10">
                  <c:v>709.06357648366202</c:v>
                </c:pt>
                <c:pt idx="11">
                  <c:v>755.17238050057551</c:v>
                </c:pt>
                <c:pt idx="12">
                  <c:v>799.64733199026568</c:v>
                </c:pt>
                <c:pt idx="13">
                  <c:v>842.60083960879354</c:v>
                </c:pt>
                <c:pt idx="14">
                  <c:v>884.13409753236147</c:v>
                </c:pt>
                <c:pt idx="15">
                  <c:v>924.33852932810021</c:v>
                </c:pt>
                <c:pt idx="16">
                  <c:v>963.29700667898453</c:v>
                </c:pt>
                <c:pt idx="17">
                  <c:v>1001.0848838208431</c:v>
                </c:pt>
                <c:pt idx="18">
                  <c:v>1037.7708801523804</c:v>
                </c:pt>
                <c:pt idx="19">
                  <c:v>1073.4178369982335</c:v>
                </c:pt>
                <c:pt idx="20">
                  <c:v>1108.0833694620515</c:v>
                </c:pt>
                <c:pt idx="21">
                  <c:v>1141.8204303521811</c:v>
                </c:pt>
                <c:pt idx="22">
                  <c:v>1174.6778000393497</c:v>
                </c:pt>
                <c:pt idx="23">
                  <c:v>1206.7005136221685</c:v>
                </c:pt>
                <c:pt idx="24">
                  <c:v>1237.9302347887037</c:v>
                </c:pt>
                <c:pt idx="25">
                  <c:v>1268.405584161992</c:v>
                </c:pt>
              </c:numCache>
            </c:numRef>
          </c:xVal>
          <c:yVal>
            <c:numRef>
              <c:f>Sheet1!$D$109:$D$134</c:f>
              <c:numCache>
                <c:formatCode>0.0</c:formatCode>
                <c:ptCount val="26"/>
                <c:pt idx="0">
                  <c:v>498.47617053161127</c:v>
                </c:pt>
                <c:pt idx="1">
                  <c:v>528.5371237103468</c:v>
                </c:pt>
                <c:pt idx="2">
                  <c:v>558.59807688908234</c:v>
                </c:pt>
                <c:pt idx="3">
                  <c:v>588.65903006781787</c:v>
                </c:pt>
                <c:pt idx="4">
                  <c:v>618.7199832465534</c:v>
                </c:pt>
                <c:pt idx="5">
                  <c:v>648.78093642528893</c:v>
                </c:pt>
                <c:pt idx="6">
                  <c:v>678.84188960402446</c:v>
                </c:pt>
                <c:pt idx="7">
                  <c:v>708.90284278275999</c:v>
                </c:pt>
                <c:pt idx="8">
                  <c:v>738.96379596149552</c:v>
                </c:pt>
                <c:pt idx="9">
                  <c:v>769.02474914023105</c:v>
                </c:pt>
                <c:pt idx="10">
                  <c:v>799.08570231896658</c:v>
                </c:pt>
                <c:pt idx="11">
                  <c:v>829.14665549770211</c:v>
                </c:pt>
                <c:pt idx="12">
                  <c:v>859.20760867643764</c:v>
                </c:pt>
                <c:pt idx="13">
                  <c:v>889.26856185517317</c:v>
                </c:pt>
                <c:pt idx="14">
                  <c:v>919.32951503390871</c:v>
                </c:pt>
                <c:pt idx="15">
                  <c:v>949.39046821264424</c:v>
                </c:pt>
                <c:pt idx="16">
                  <c:v>979.45142139137977</c:v>
                </c:pt>
                <c:pt idx="17">
                  <c:v>1009.5123745701153</c:v>
                </c:pt>
                <c:pt idx="18">
                  <c:v>1039.5733277488509</c:v>
                </c:pt>
                <c:pt idx="19">
                  <c:v>1069.6342809275866</c:v>
                </c:pt>
                <c:pt idx="20">
                  <c:v>1099.6952341063222</c:v>
                </c:pt>
                <c:pt idx="21">
                  <c:v>1129.7561872850579</c:v>
                </c:pt>
                <c:pt idx="22">
                  <c:v>1159.8171404637935</c:v>
                </c:pt>
                <c:pt idx="23">
                  <c:v>1189.8780936425292</c:v>
                </c:pt>
                <c:pt idx="24">
                  <c:v>1219.9390468212648</c:v>
                </c:pt>
                <c:pt idx="25">
                  <c:v>1250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26-EB44-94EF-1FF49E5A5BE4}"/>
            </c:ext>
          </c:extLst>
        </c:ser>
        <c:ser>
          <c:idx val="2"/>
          <c:order val="3"/>
          <c:tx>
            <c:strRef>
              <c:f>Sheet1!$B$136</c:f>
              <c:strCache>
                <c:ptCount val="1"/>
                <c:pt idx="0">
                  <c:v>Turbine (comp)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Sheet1!$K$138:$K$163</c:f>
              <c:numCache>
                <c:formatCode>0.0</c:formatCode>
                <c:ptCount val="26"/>
                <c:pt idx="0">
                  <c:v>1268.405584161992</c:v>
                </c:pt>
                <c:pt idx="1">
                  <c:v>1269.0803063505746</c:v>
                </c:pt>
                <c:pt idx="2">
                  <c:v>1267.9166033211263</c:v>
                </c:pt>
                <c:pt idx="3">
                  <c:v>1266.8517096783844</c:v>
                </c:pt>
                <c:pt idx="4">
                  <c:v>1265.8863510148167</c:v>
                </c:pt>
                <c:pt idx="5">
                  <c:v>1265.0212558626195</c:v>
                </c:pt>
                <c:pt idx="6">
                  <c:v>1264.2571556627904</c:v>
                </c:pt>
                <c:pt idx="7">
                  <c:v>1263.5947847333123</c:v>
                </c:pt>
                <c:pt idx="8">
                  <c:v>1263.0348802364415</c:v>
                </c:pt>
                <c:pt idx="9">
                  <c:v>1262.5781821450869</c:v>
                </c:pt>
                <c:pt idx="10">
                  <c:v>1262.2254332082807</c:v>
                </c:pt>
                <c:pt idx="11">
                  <c:v>1261.9773789157255</c:v>
                </c:pt>
                <c:pt idx="12">
                  <c:v>1261.834767461416</c:v>
                </c:pt>
                <c:pt idx="13">
                  <c:v>1261.7983497063262</c:v>
                </c:pt>
                <c:pt idx="14">
                  <c:v>1261.868879140156</c:v>
                </c:pt>
                <c:pt idx="15">
                  <c:v>1262.0471118421297</c:v>
                </c:pt>
                <c:pt idx="16">
                  <c:v>1262.3338064408395</c:v>
                </c:pt>
                <c:pt idx="17">
                  <c:v>1262.7297240731334</c:v>
                </c:pt>
                <c:pt idx="18">
                  <c:v>1263.2356283420302</c:v>
                </c:pt>
                <c:pt idx="19">
                  <c:v>1263.8522852736673</c:v>
                </c:pt>
                <c:pt idx="20">
                  <c:v>1264.5804632732704</c:v>
                </c:pt>
                <c:pt idx="21">
                  <c:v>1265.4209330801375</c:v>
                </c:pt>
                <c:pt idx="22">
                  <c:v>1266.3744677216368</c:v>
                </c:pt>
                <c:pt idx="23">
                  <c:v>1267.4418424662117</c:v>
                </c:pt>
                <c:pt idx="24">
                  <c:v>1268.6238347753879</c:v>
                </c:pt>
                <c:pt idx="25">
                  <c:v>1269.9212242547762</c:v>
                </c:pt>
              </c:numCache>
            </c:numRef>
          </c:xVal>
          <c:yVal>
            <c:numRef>
              <c:f>Sheet1!$D$138:$D$163</c:f>
              <c:numCache>
                <c:formatCode>0.0</c:formatCode>
                <c:ptCount val="26"/>
                <c:pt idx="0">
                  <c:v>1250</c:v>
                </c:pt>
                <c:pt idx="1">
                  <c:v>1241.1379784254509</c:v>
                </c:pt>
                <c:pt idx="2">
                  <c:v>1230.4340770666472</c:v>
                </c:pt>
                <c:pt idx="3">
                  <c:v>1219.8372147214316</c:v>
                </c:pt>
                <c:pt idx="4">
                  <c:v>1209.346320999668</c:v>
                </c:pt>
                <c:pt idx="5">
                  <c:v>1198.9603362151222</c:v>
                </c:pt>
                <c:pt idx="6">
                  <c:v>1188.6782112784217</c:v>
                </c:pt>
                <c:pt idx="7">
                  <c:v>1178.4989075910883</c:v>
                </c:pt>
                <c:pt idx="8">
                  <c:v>1168.4213969406283</c:v>
                </c:pt>
                <c:pt idx="9">
                  <c:v>1158.4446613966727</c:v>
                </c:pt>
                <c:pt idx="10">
                  <c:v>1148.5676932081567</c:v>
                </c:pt>
                <c:pt idx="11">
                  <c:v>1138.7894947015259</c:v>
                </c:pt>
                <c:pt idx="12">
                  <c:v>1129.1090781799614</c:v>
                </c:pt>
                <c:pt idx="13">
                  <c:v>1119.5254658236126</c:v>
                </c:pt>
                <c:pt idx="14">
                  <c:v>1110.0376895908273</c:v>
                </c:pt>
                <c:pt idx="15">
                  <c:v>1100.64479112037</c:v>
                </c:pt>
                <c:pt idx="16">
                  <c:v>1091.3458216346171</c:v>
                </c:pt>
                <c:pt idx="17">
                  <c:v>1082.1398418437218</c:v>
                </c:pt>
                <c:pt idx="18">
                  <c:v>1073.0259218507354</c:v>
                </c:pt>
                <c:pt idx="19">
                  <c:v>1064.0031410576789</c:v>
                </c:pt>
                <c:pt idx="20">
                  <c:v>1055.0705880725529</c:v>
                </c:pt>
                <c:pt idx="21">
                  <c:v>1046.2273606172782</c:v>
                </c:pt>
                <c:pt idx="22">
                  <c:v>1037.4725654365564</c:v>
                </c:pt>
                <c:pt idx="23">
                  <c:v>1028.8053182076414</c:v>
                </c:pt>
                <c:pt idx="24">
                  <c:v>1020.2247434510159</c:v>
                </c:pt>
                <c:pt idx="25">
                  <c:v>1011.7299744419565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26-EB44-94EF-1FF49E5A5BE4}"/>
            </c:ext>
          </c:extLst>
        </c:ser>
        <c:ser>
          <c:idx val="14"/>
          <c:order val="4"/>
          <c:tx>
            <c:strRef>
              <c:f>Sheet1!$B$165</c:f>
              <c:strCache>
                <c:ptCount val="1"/>
                <c:pt idx="0">
                  <c:v>Turbine (fan)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Sheet1!$K$167:$K$192</c:f>
              <c:numCache>
                <c:formatCode>0.0</c:formatCode>
                <c:ptCount val="26"/>
                <c:pt idx="0">
                  <c:v>1269.9212242547762</c:v>
                </c:pt>
                <c:pt idx="1">
                  <c:v>1269.2106886015215</c:v>
                </c:pt>
                <c:pt idx="2">
                  <c:v>1269.2106886015215</c:v>
                </c:pt>
                <c:pt idx="3">
                  <c:v>1269.2106886015215</c:v>
                </c:pt>
                <c:pt idx="4">
                  <c:v>1269.2106886015215</c:v>
                </c:pt>
                <c:pt idx="5">
                  <c:v>1269.2106886015215</c:v>
                </c:pt>
                <c:pt idx="6">
                  <c:v>1269.2106886015215</c:v>
                </c:pt>
                <c:pt idx="7">
                  <c:v>1269.2106886015215</c:v>
                </c:pt>
                <c:pt idx="8">
                  <c:v>1269.2106886015215</c:v>
                </c:pt>
                <c:pt idx="9">
                  <c:v>1269.2106886015215</c:v>
                </c:pt>
                <c:pt idx="10">
                  <c:v>1269.2106886015215</c:v>
                </c:pt>
                <c:pt idx="11">
                  <c:v>1269.2106886015215</c:v>
                </c:pt>
                <c:pt idx="12">
                  <c:v>1269.2106886015215</c:v>
                </c:pt>
                <c:pt idx="13">
                  <c:v>1269.2106886015215</c:v>
                </c:pt>
                <c:pt idx="14">
                  <c:v>1269.2106886015215</c:v>
                </c:pt>
                <c:pt idx="15">
                  <c:v>1269.2106886015215</c:v>
                </c:pt>
                <c:pt idx="16">
                  <c:v>1269.2106886015215</c:v>
                </c:pt>
                <c:pt idx="17">
                  <c:v>1269.2106886015215</c:v>
                </c:pt>
                <c:pt idx="18">
                  <c:v>1269.2106886015215</c:v>
                </c:pt>
                <c:pt idx="19">
                  <c:v>1269.2106886015215</c:v>
                </c:pt>
                <c:pt idx="20">
                  <c:v>1269.2106886015215</c:v>
                </c:pt>
                <c:pt idx="21">
                  <c:v>1269.2106886015215</c:v>
                </c:pt>
                <c:pt idx="22">
                  <c:v>1269.2106886015215</c:v>
                </c:pt>
                <c:pt idx="23">
                  <c:v>1269.2106886015215</c:v>
                </c:pt>
                <c:pt idx="24">
                  <c:v>1269.2106886015215</c:v>
                </c:pt>
                <c:pt idx="25">
                  <c:v>1269.2106886015215</c:v>
                </c:pt>
              </c:numCache>
            </c:numRef>
          </c:xVal>
          <c:yVal>
            <c:numRef>
              <c:f>Sheet1!$D$167:$D$192</c:f>
              <c:numCache>
                <c:formatCode>0.0</c:formatCode>
                <c:ptCount val="26"/>
                <c:pt idx="0">
                  <c:v>1011.7299744419565</c:v>
                </c:pt>
                <c:pt idx="1">
                  <c:v>1011.1514893353096</c:v>
                </c:pt>
                <c:pt idx="2">
                  <c:v>1011.1514893353096</c:v>
                </c:pt>
                <c:pt idx="3">
                  <c:v>1011.1514893353096</c:v>
                </c:pt>
                <c:pt idx="4">
                  <c:v>1011.1514893353096</c:v>
                </c:pt>
                <c:pt idx="5">
                  <c:v>1011.1514893353096</c:v>
                </c:pt>
                <c:pt idx="6">
                  <c:v>1011.1514893353096</c:v>
                </c:pt>
                <c:pt idx="7">
                  <c:v>1011.1514893353096</c:v>
                </c:pt>
                <c:pt idx="8">
                  <c:v>1011.1514893353096</c:v>
                </c:pt>
                <c:pt idx="9">
                  <c:v>1011.1514893353096</c:v>
                </c:pt>
                <c:pt idx="10">
                  <c:v>1011.1514893353096</c:v>
                </c:pt>
                <c:pt idx="11">
                  <c:v>1011.1514893353096</c:v>
                </c:pt>
                <c:pt idx="12">
                  <c:v>1011.1514893353096</c:v>
                </c:pt>
                <c:pt idx="13">
                  <c:v>1011.1514893353096</c:v>
                </c:pt>
                <c:pt idx="14">
                  <c:v>1011.1514893353096</c:v>
                </c:pt>
                <c:pt idx="15">
                  <c:v>1011.1514893353096</c:v>
                </c:pt>
                <c:pt idx="16">
                  <c:v>1011.1514893353096</c:v>
                </c:pt>
                <c:pt idx="17">
                  <c:v>1011.1514893353096</c:v>
                </c:pt>
                <c:pt idx="18">
                  <c:v>1011.1514893353096</c:v>
                </c:pt>
                <c:pt idx="19">
                  <c:v>1011.1514893353096</c:v>
                </c:pt>
                <c:pt idx="20">
                  <c:v>1011.1514893353096</c:v>
                </c:pt>
                <c:pt idx="21">
                  <c:v>1011.1514893353096</c:v>
                </c:pt>
                <c:pt idx="22">
                  <c:v>1011.1514893353096</c:v>
                </c:pt>
                <c:pt idx="23">
                  <c:v>1011.1514893353096</c:v>
                </c:pt>
                <c:pt idx="24">
                  <c:v>1011.1514893353096</c:v>
                </c:pt>
                <c:pt idx="25">
                  <c:v>1011.1514893353096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26-EB44-94EF-1FF49E5A5BE4}"/>
            </c:ext>
          </c:extLst>
        </c:ser>
        <c:ser>
          <c:idx val="12"/>
          <c:order val="5"/>
          <c:tx>
            <c:strRef>
              <c:f>Sheet1!$B$194</c:f>
              <c:strCache>
                <c:ptCount val="1"/>
                <c:pt idx="0">
                  <c:v>Afterburner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Sheet1!$K$196:$K$221</c:f>
              <c:numCache>
                <c:formatCode>0.0</c:formatCode>
                <c:ptCount val="26"/>
                <c:pt idx="0">
                  <c:v>1269.2106886015215</c:v>
                </c:pt>
                <c:pt idx="1">
                  <c:v>1269.2106886015215</c:v>
                </c:pt>
                <c:pt idx="2">
                  <c:v>1269.2106886015215</c:v>
                </c:pt>
                <c:pt idx="3">
                  <c:v>1269.2106886015215</c:v>
                </c:pt>
                <c:pt idx="4">
                  <c:v>1269.2106886015215</c:v>
                </c:pt>
                <c:pt idx="5">
                  <c:v>1269.2106886015215</c:v>
                </c:pt>
                <c:pt idx="6">
                  <c:v>1269.2106886015215</c:v>
                </c:pt>
                <c:pt idx="7">
                  <c:v>1269.2106886015215</c:v>
                </c:pt>
                <c:pt idx="8">
                  <c:v>1269.2106886015215</c:v>
                </c:pt>
                <c:pt idx="9">
                  <c:v>1269.2106886015215</c:v>
                </c:pt>
                <c:pt idx="10">
                  <c:v>1269.2106886015215</c:v>
                </c:pt>
                <c:pt idx="11">
                  <c:v>1269.2106886015215</c:v>
                </c:pt>
                <c:pt idx="12">
                  <c:v>1269.2106886015215</c:v>
                </c:pt>
                <c:pt idx="13">
                  <c:v>1269.2106886015215</c:v>
                </c:pt>
                <c:pt idx="14">
                  <c:v>1269.2106886015215</c:v>
                </c:pt>
                <c:pt idx="15">
                  <c:v>1269.2106886015215</c:v>
                </c:pt>
                <c:pt idx="16">
                  <c:v>1269.2106886015215</c:v>
                </c:pt>
                <c:pt idx="17">
                  <c:v>1269.2106886015215</c:v>
                </c:pt>
                <c:pt idx="18">
                  <c:v>1269.2106886015215</c:v>
                </c:pt>
                <c:pt idx="19">
                  <c:v>1269.2106886015215</c:v>
                </c:pt>
                <c:pt idx="20">
                  <c:v>1269.2106886015215</c:v>
                </c:pt>
                <c:pt idx="21">
                  <c:v>1269.2106886015215</c:v>
                </c:pt>
                <c:pt idx="22">
                  <c:v>1269.2106886015215</c:v>
                </c:pt>
                <c:pt idx="23">
                  <c:v>1269.2106886015215</c:v>
                </c:pt>
                <c:pt idx="24">
                  <c:v>1269.2106886015215</c:v>
                </c:pt>
                <c:pt idx="25">
                  <c:v>1269.2106886015215</c:v>
                </c:pt>
              </c:numCache>
            </c:numRef>
          </c:xVal>
          <c:yVal>
            <c:numRef>
              <c:f>Sheet1!$D$196:$D$221</c:f>
              <c:numCache>
                <c:formatCode>0.0</c:formatCode>
                <c:ptCount val="26"/>
                <c:pt idx="0">
                  <c:v>1011.1514893353096</c:v>
                </c:pt>
                <c:pt idx="1">
                  <c:v>1011.1514893353096</c:v>
                </c:pt>
                <c:pt idx="2">
                  <c:v>1011.1514893353096</c:v>
                </c:pt>
                <c:pt idx="3">
                  <c:v>1011.1514893353096</c:v>
                </c:pt>
                <c:pt idx="4">
                  <c:v>1011.1514893353096</c:v>
                </c:pt>
                <c:pt idx="5">
                  <c:v>1011.1514893353096</c:v>
                </c:pt>
                <c:pt idx="6">
                  <c:v>1011.1514893353096</c:v>
                </c:pt>
                <c:pt idx="7">
                  <c:v>1011.1514893353096</c:v>
                </c:pt>
                <c:pt idx="8">
                  <c:v>1011.1514893353096</c:v>
                </c:pt>
                <c:pt idx="9">
                  <c:v>1011.1514893353096</c:v>
                </c:pt>
                <c:pt idx="10">
                  <c:v>1011.1514893353096</c:v>
                </c:pt>
                <c:pt idx="11">
                  <c:v>1011.1514893353096</c:v>
                </c:pt>
                <c:pt idx="12">
                  <c:v>1011.1514893353096</c:v>
                </c:pt>
                <c:pt idx="13">
                  <c:v>1011.1514893353096</c:v>
                </c:pt>
                <c:pt idx="14">
                  <c:v>1011.1514893353096</c:v>
                </c:pt>
                <c:pt idx="15">
                  <c:v>1011.1514893353096</c:v>
                </c:pt>
                <c:pt idx="16">
                  <c:v>1011.1514893353096</c:v>
                </c:pt>
                <c:pt idx="17">
                  <c:v>1011.1514893353096</c:v>
                </c:pt>
                <c:pt idx="18">
                  <c:v>1011.1514893353096</c:v>
                </c:pt>
                <c:pt idx="19">
                  <c:v>1011.1514893353096</c:v>
                </c:pt>
                <c:pt idx="20">
                  <c:v>1011.1514893353096</c:v>
                </c:pt>
                <c:pt idx="21">
                  <c:v>1011.1514893353096</c:v>
                </c:pt>
                <c:pt idx="22">
                  <c:v>1011.1514893353096</c:v>
                </c:pt>
                <c:pt idx="23">
                  <c:v>1011.1514893353096</c:v>
                </c:pt>
                <c:pt idx="24">
                  <c:v>1011.1514893353096</c:v>
                </c:pt>
                <c:pt idx="25">
                  <c:v>1011.1514893353096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26-EB44-94EF-1FF49E5A5BE4}"/>
            </c:ext>
          </c:extLst>
        </c:ser>
        <c:ser>
          <c:idx val="3"/>
          <c:order val="6"/>
          <c:tx>
            <c:strRef>
              <c:f>Sheet1!$B$223</c:f>
              <c:strCache>
                <c:ptCount val="1"/>
                <c:pt idx="0">
                  <c:v>Nozzle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Sheet1!$K$225:$K$250</c:f>
              <c:numCache>
                <c:formatCode>0.0</c:formatCode>
                <c:ptCount val="26"/>
                <c:pt idx="0">
                  <c:v>1269.2106886015215</c:v>
                </c:pt>
                <c:pt idx="1">
                  <c:v>1268.5488417486404</c:v>
                </c:pt>
                <c:pt idx="2">
                  <c:v>1267.9043908679478</c:v>
                </c:pt>
                <c:pt idx="3">
                  <c:v>1267.2772527610791</c:v>
                </c:pt>
                <c:pt idx="4">
                  <c:v>1266.6673449189084</c:v>
                </c:pt>
                <c:pt idx="5">
                  <c:v>1266.0745855281621</c:v>
                </c:pt>
                <c:pt idx="6">
                  <c:v>1265.4988934779703</c:v>
                </c:pt>
                <c:pt idx="7">
                  <c:v>1264.9401883663459</c:v>
                </c:pt>
                <c:pt idx="8">
                  <c:v>1264.3983905066016</c:v>
                </c:pt>
                <c:pt idx="9">
                  <c:v>1263.8734209337044</c:v>
                </c:pt>
                <c:pt idx="10">
                  <c:v>1263.3652014105726</c:v>
                </c:pt>
                <c:pt idx="11">
                  <c:v>1262.8736544343119</c:v>
                </c:pt>
                <c:pt idx="12">
                  <c:v>1262.3987032423993</c:v>
                </c:pt>
                <c:pt idx="13">
                  <c:v>1261.9402718188167</c:v>
                </c:pt>
                <c:pt idx="14">
                  <c:v>1261.4982849001317</c:v>
                </c:pt>
                <c:pt idx="15">
                  <c:v>1261.0726679815357</c:v>
                </c:pt>
                <c:pt idx="16">
                  <c:v>1260.6633473228362</c:v>
                </c:pt>
                <c:pt idx="17">
                  <c:v>1260.2702499544055</c:v>
                </c:pt>
                <c:pt idx="18">
                  <c:v>1259.8933036830992</c:v>
                </c:pt>
                <c:pt idx="19">
                  <c:v>1259.5324370981284</c:v>
                </c:pt>
                <c:pt idx="20">
                  <c:v>1259.1875795769079</c:v>
                </c:pt>
                <c:pt idx="21">
                  <c:v>1258.8586612908719</c:v>
                </c:pt>
                <c:pt idx="22">
                  <c:v>1258.5456132112602</c:v>
                </c:pt>
                <c:pt idx="23">
                  <c:v>1258.2483671148855</c:v>
                </c:pt>
                <c:pt idx="24">
                  <c:v>1257.966855589877</c:v>
                </c:pt>
                <c:pt idx="25">
                  <c:v>1257.7010120414059</c:v>
                </c:pt>
              </c:numCache>
            </c:numRef>
          </c:xVal>
          <c:yVal>
            <c:numRef>
              <c:f>Sheet1!$D$225:$D$250</c:f>
              <c:numCache>
                <c:formatCode>0.0</c:formatCode>
                <c:ptCount val="26"/>
                <c:pt idx="0">
                  <c:v>1011.1514893353096</c:v>
                </c:pt>
                <c:pt idx="1">
                  <c:v>1003.0207561759607</c:v>
                </c:pt>
                <c:pt idx="2">
                  <c:v>994.71589041919913</c:v>
                </c:pt>
                <c:pt idx="3">
                  <c:v>986.22467776715439</c:v>
                </c:pt>
                <c:pt idx="4">
                  <c:v>977.53370639459547</c:v>
                </c:pt>
                <c:pt idx="5">
                  <c:v>968.62819773222407</c:v>
                </c:pt>
                <c:pt idx="6">
                  <c:v>959.49180585944964</c:v>
                </c:pt>
                <c:pt idx="7">
                  <c:v>950.10637817390011</c:v>
                </c:pt>
                <c:pt idx="8">
                  <c:v>940.45166790979658</c:v>
                </c:pt>
                <c:pt idx="9">
                  <c:v>930.50498626468982</c:v>
                </c:pt>
                <c:pt idx="10">
                  <c:v>920.24077807373442</c:v>
                </c:pt>
                <c:pt idx="11">
                  <c:v>909.6300997153528</c:v>
                </c:pt>
                <c:pt idx="12">
                  <c:v>898.63997060235215</c:v>
                </c:pt>
                <c:pt idx="13">
                  <c:v>887.23255923424142</c:v>
                </c:pt>
                <c:pt idx="14">
                  <c:v>875.36414984715179</c:v>
                </c:pt>
                <c:pt idx="15">
                  <c:v>862.98381379835246</c:v>
                </c:pt>
                <c:pt idx="16">
                  <c:v>850.03167706782551</c:v>
                </c:pt>
                <c:pt idx="17">
                  <c:v>836.43662515955657</c:v>
                </c:pt>
                <c:pt idx="18">
                  <c:v>822.11320810821564</c:v>
                </c:pt>
                <c:pt idx="19">
                  <c:v>806.95738151810974</c:v>
                </c:pt>
                <c:pt idx="20">
                  <c:v>790.84050831835509</c:v>
                </c:pt>
                <c:pt idx="21">
                  <c:v>773.60068067659518</c:v>
                </c:pt>
                <c:pt idx="22">
                  <c:v>755.02976228481498</c:v>
                </c:pt>
                <c:pt idx="23">
                  <c:v>734.85329965744836</c:v>
                </c:pt>
                <c:pt idx="24">
                  <c:v>712.69792669210915</c:v>
                </c:pt>
                <c:pt idx="25">
                  <c:v>688.03540469555298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26-EB44-94EF-1FF49E5A5BE4}"/>
            </c:ext>
          </c:extLst>
        </c:ser>
        <c:ser>
          <c:idx val="6"/>
          <c:order val="7"/>
          <c:tx>
            <c:strRef>
              <c:f>Sheet1!$B$252</c:f>
              <c:strCache>
                <c:ptCount val="1"/>
                <c:pt idx="0">
                  <c:v>Close the cycle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ash"/>
            </a:ln>
          </c:spPr>
          <c:marker>
            <c:symbol val="none"/>
          </c:marker>
          <c:xVal>
            <c:numRef>
              <c:f>Sheet1!$K$254:$K$279</c:f>
              <c:numCache>
                <c:formatCode>0.0</c:formatCode>
                <c:ptCount val="26"/>
                <c:pt idx="0">
                  <c:v>1257.7010120414059</c:v>
                </c:pt>
                <c:pt idx="1">
                  <c:v>1207.3929715597496</c:v>
                </c:pt>
                <c:pt idx="2">
                  <c:v>1157.0849310780934</c:v>
                </c:pt>
                <c:pt idx="3">
                  <c:v>1106.7768905964372</c:v>
                </c:pt>
                <c:pt idx="4">
                  <c:v>1056.4688501147809</c:v>
                </c:pt>
                <c:pt idx="5">
                  <c:v>1006.1608096331247</c:v>
                </c:pt>
                <c:pt idx="6">
                  <c:v>955.85276915146846</c:v>
                </c:pt>
                <c:pt idx="7">
                  <c:v>905.54472866981223</c:v>
                </c:pt>
                <c:pt idx="8">
                  <c:v>855.23668818815599</c:v>
                </c:pt>
                <c:pt idx="9">
                  <c:v>804.92864770649976</c:v>
                </c:pt>
                <c:pt idx="10">
                  <c:v>754.62060722484352</c:v>
                </c:pt>
                <c:pt idx="11">
                  <c:v>704.31256674318729</c:v>
                </c:pt>
                <c:pt idx="12">
                  <c:v>654.00452626153105</c:v>
                </c:pt>
                <c:pt idx="13">
                  <c:v>603.69648577987482</c:v>
                </c:pt>
                <c:pt idx="14">
                  <c:v>553.38844529821858</c:v>
                </c:pt>
                <c:pt idx="15">
                  <c:v>503.08040481656235</c:v>
                </c:pt>
                <c:pt idx="16">
                  <c:v>452.77236433490611</c:v>
                </c:pt>
                <c:pt idx="17">
                  <c:v>402.46432385324988</c:v>
                </c:pt>
                <c:pt idx="18">
                  <c:v>352.15628337159364</c:v>
                </c:pt>
                <c:pt idx="19">
                  <c:v>301.84824288993741</c:v>
                </c:pt>
                <c:pt idx="20">
                  <c:v>251.54020240828117</c:v>
                </c:pt>
                <c:pt idx="21">
                  <c:v>201.23216192662494</c:v>
                </c:pt>
                <c:pt idx="22">
                  <c:v>150.9241214449687</c:v>
                </c:pt>
                <c:pt idx="23">
                  <c:v>100.61608096331247</c:v>
                </c:pt>
                <c:pt idx="24">
                  <c:v>50.308040481656235</c:v>
                </c:pt>
                <c:pt idx="25">
                  <c:v>0</c:v>
                </c:pt>
              </c:numCache>
            </c:numRef>
          </c:xVal>
          <c:yVal>
            <c:numRef>
              <c:f>Sheet1!$D$254:$D$279</c:f>
              <c:numCache>
                <c:formatCode>0.0</c:formatCode>
                <c:ptCount val="26"/>
                <c:pt idx="0">
                  <c:v>688.03540469555298</c:v>
                </c:pt>
                <c:pt idx="1">
                  <c:v>660.72989254418724</c:v>
                </c:pt>
                <c:pt idx="2">
                  <c:v>634.50803246764212</c:v>
                </c:pt>
                <c:pt idx="3">
                  <c:v>609.32681843062505</c:v>
                </c:pt>
                <c:pt idx="4">
                  <c:v>585.14495114405338</c:v>
                </c:pt>
                <c:pt idx="5">
                  <c:v>561.92277033077937</c:v>
                </c:pt>
                <c:pt idx="6">
                  <c:v>539.62218967943113</c:v>
                </c:pt>
                <c:pt idx="7">
                  <c:v>518.20663437968869</c:v>
                </c:pt>
                <c:pt idx="8">
                  <c:v>497.64098113654768</c:v>
                </c:pt>
                <c:pt idx="9">
                  <c:v>477.89150056518923</c:v>
                </c:pt>
                <c:pt idx="10">
                  <c:v>458.92580187197848</c:v>
                </c:pt>
                <c:pt idx="11">
                  <c:v>440.71277973086427</c:v>
                </c:pt>
                <c:pt idx="12">
                  <c:v>423.2225632680528</c:v>
                </c:pt>
                <c:pt idx="13">
                  <c:v>406.42646707128586</c:v>
                </c:pt>
                <c:pt idx="14">
                  <c:v>390.29694414337456</c:v>
                </c:pt>
                <c:pt idx="15">
                  <c:v>374.80754072282889</c:v>
                </c:pt>
                <c:pt idx="16">
                  <c:v>359.93285289748468</c:v>
                </c:pt>
                <c:pt idx="17">
                  <c:v>345.64848493997113</c:v>
                </c:pt>
                <c:pt idx="18">
                  <c:v>331.93100929668532</c:v>
                </c:pt>
                <c:pt idx="19">
                  <c:v>318.75792816465224</c:v>
                </c:pt>
                <c:pt idx="20">
                  <c:v>306.10763659325346</c:v>
                </c:pt>
                <c:pt idx="21">
                  <c:v>293.95938705030818</c:v>
                </c:pt>
                <c:pt idx="22">
                  <c:v>282.29325539439151</c:v>
                </c:pt>
                <c:pt idx="23">
                  <c:v>271.09010819758277</c:v>
                </c:pt>
                <c:pt idx="24">
                  <c:v>260.33157136504934</c:v>
                </c:pt>
                <c:pt idx="25">
                  <c:v>250.00000000000031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226-EB44-94EF-1FF49E5A5BE4}"/>
            </c:ext>
          </c:extLst>
        </c:ser>
        <c:ser>
          <c:idx val="7"/>
          <c:order val="8"/>
          <c:tx>
            <c:v>1</c:v>
          </c:tx>
          <c:spPr>
            <a:ln w="28575">
              <a:noFill/>
            </a:ln>
          </c:spPr>
          <c:marker>
            <c:symbol val="square"/>
            <c:size val="8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Sheet1!$K$51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Sheet1!$D$51</c:f>
              <c:numCache>
                <c:formatCode>0.0</c:formatCode>
                <c:ptCount val="1"/>
                <c:pt idx="0">
                  <c:v>250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26-EB44-94EF-1FF49E5A5BE4}"/>
            </c:ext>
          </c:extLst>
        </c:ser>
        <c:ser>
          <c:idx val="8"/>
          <c:order val="9"/>
          <c:tx>
            <c:v>2</c:v>
          </c:tx>
          <c:spPr>
            <a:ln w="28575">
              <a:noFill/>
            </a:ln>
          </c:spPr>
          <c:marker>
            <c:symbol val="diamond"/>
            <c:size val="8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xVal>
            <c:numRef>
              <c:f>Sheet1!$K$80</c:f>
              <c:numCache>
                <c:formatCode>0.0</c:formatCode>
                <c:ptCount val="1"/>
                <c:pt idx="0">
                  <c:v>53.252488917925021</c:v>
                </c:pt>
              </c:numCache>
            </c:numRef>
          </c:xVal>
          <c:yVal>
            <c:numRef>
              <c:f>Sheet1!$D$80</c:f>
              <c:numCache>
                <c:formatCode>0.0</c:formatCode>
                <c:ptCount val="1"/>
                <c:pt idx="0">
                  <c:v>271.70043145805113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26-EB44-94EF-1FF49E5A5BE4}"/>
            </c:ext>
          </c:extLst>
        </c:ser>
        <c:ser>
          <c:idx val="9"/>
          <c:order val="10"/>
          <c:tx>
            <c:v>3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Sheet1!$K$109</c:f>
              <c:numCache>
                <c:formatCode>0.0</c:formatCode>
                <c:ptCount val="1"/>
                <c:pt idx="0">
                  <c:v>120.49373532656057</c:v>
                </c:pt>
              </c:numCache>
            </c:numRef>
          </c:xVal>
          <c:yVal>
            <c:numRef>
              <c:f>Sheet1!$D$109</c:f>
              <c:numCache>
                <c:formatCode>0.0</c:formatCode>
                <c:ptCount val="1"/>
                <c:pt idx="0">
                  <c:v>498.47617053161127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26-EB44-94EF-1FF49E5A5BE4}"/>
            </c:ext>
          </c:extLst>
        </c:ser>
        <c:ser>
          <c:idx val="10"/>
          <c:order val="11"/>
          <c:tx>
            <c:v>4</c:v>
          </c:tx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Sheet1!$K$138</c:f>
              <c:numCache>
                <c:formatCode>0.0</c:formatCode>
                <c:ptCount val="1"/>
                <c:pt idx="0">
                  <c:v>1268.405584161992</c:v>
                </c:pt>
              </c:numCache>
            </c:numRef>
          </c:xVal>
          <c:yVal>
            <c:numRef>
              <c:f>Sheet1!$D$138</c:f>
              <c:numCache>
                <c:formatCode>0.0</c:formatCode>
                <c:ptCount val="1"/>
                <c:pt idx="0">
                  <c:v>1250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26-EB44-94EF-1FF49E5A5BE4}"/>
            </c:ext>
          </c:extLst>
        </c:ser>
        <c:ser>
          <c:idx val="15"/>
          <c:order val="12"/>
          <c:tx>
            <c:v>5</c:v>
          </c:tx>
          <c:spPr>
            <a:ln w="28575">
              <a:noFill/>
            </a:ln>
          </c:spPr>
          <c:marker>
            <c:symbol val="square"/>
            <c:size val="8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Sheet1!$K$167</c:f>
              <c:numCache>
                <c:formatCode>0.0</c:formatCode>
                <c:ptCount val="1"/>
                <c:pt idx="0">
                  <c:v>1269.9212242547762</c:v>
                </c:pt>
              </c:numCache>
            </c:numRef>
          </c:xVal>
          <c:yVal>
            <c:numRef>
              <c:f>Sheet1!$D$167</c:f>
              <c:numCache>
                <c:formatCode>0.0</c:formatCode>
                <c:ptCount val="1"/>
                <c:pt idx="0">
                  <c:v>1011.7299744419565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26-EB44-94EF-1FF49E5A5BE4}"/>
            </c:ext>
          </c:extLst>
        </c:ser>
        <c:ser>
          <c:idx val="11"/>
          <c:order val="13"/>
          <c:tx>
            <c:v>6</c:v>
          </c:tx>
          <c:spPr>
            <a:ln w="28575">
              <a:noFill/>
            </a:ln>
          </c:spPr>
          <c:marker>
            <c:symbol val="star"/>
            <c:size val="8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Sheet1!$K$196</c:f>
              <c:numCache>
                <c:formatCode>0.0</c:formatCode>
                <c:ptCount val="1"/>
                <c:pt idx="0">
                  <c:v>1269.2106886015215</c:v>
                </c:pt>
              </c:numCache>
            </c:numRef>
          </c:xVal>
          <c:yVal>
            <c:numRef>
              <c:f>Sheet1!$D$196</c:f>
              <c:numCache>
                <c:formatCode>0.0</c:formatCode>
                <c:ptCount val="1"/>
                <c:pt idx="0">
                  <c:v>1011.1514893353096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26-EB44-94EF-1FF49E5A5BE4}"/>
            </c:ext>
          </c:extLst>
        </c:ser>
        <c:ser>
          <c:idx val="13"/>
          <c:order val="14"/>
          <c:tx>
            <c:v>7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Sheet1!$K$225</c:f>
              <c:numCache>
                <c:formatCode>0.0</c:formatCode>
                <c:ptCount val="1"/>
                <c:pt idx="0">
                  <c:v>1269.2106886015215</c:v>
                </c:pt>
              </c:numCache>
            </c:numRef>
          </c:xVal>
          <c:yVal>
            <c:numRef>
              <c:f>Sheet1!$D$225</c:f>
              <c:numCache>
                <c:formatCode>0.0</c:formatCode>
                <c:ptCount val="1"/>
                <c:pt idx="0">
                  <c:v>1011.1514893353096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26-EB44-94EF-1FF49E5A5BE4}"/>
            </c:ext>
          </c:extLst>
        </c:ser>
        <c:ser>
          <c:idx val="5"/>
          <c:order val="15"/>
          <c:tx>
            <c:v>9</c:v>
          </c:tx>
          <c:spPr>
            <a:ln w="28575">
              <a:noFill/>
            </a:ln>
          </c:spPr>
          <c:marker>
            <c:symbol val="triangle"/>
            <c:size val="9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B0E-214E-9ED8-7715B6BE8583}"/>
              </c:ext>
            </c:extLst>
          </c:dPt>
          <c:xVal>
            <c:numRef>
              <c:f>Sheet1!$K$250</c:f>
              <c:numCache>
                <c:formatCode>0.0</c:formatCode>
                <c:ptCount val="1"/>
                <c:pt idx="0">
                  <c:v>1257.7010120414059</c:v>
                </c:pt>
              </c:numCache>
            </c:numRef>
          </c:xVal>
          <c:yVal>
            <c:numRef>
              <c:f>Sheet1!$D$250</c:f>
              <c:numCache>
                <c:formatCode>0.0</c:formatCode>
                <c:ptCount val="1"/>
                <c:pt idx="0">
                  <c:v>688.03540469555298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26-EB44-94EF-1FF49E5A5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062824"/>
        <c:axId val="-2121744584"/>
      </c:scatterChart>
      <c:valAx>
        <c:axId val="206306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1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Entropy (J/kg-K)</a:t>
                </a:r>
              </a:p>
            </c:rich>
          </c:tx>
          <c:layout>
            <c:manualLayout>
              <c:xMode val="edge"/>
              <c:yMode val="edge"/>
              <c:x val="0.37684278317729297"/>
              <c:y val="0.94101220395775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21744584"/>
        <c:crosses val="autoZero"/>
        <c:crossBetween val="midCat"/>
      </c:valAx>
      <c:valAx>
        <c:axId val="-2121744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 sz="11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Temperature (K)</a:t>
                </a:r>
              </a:p>
            </c:rich>
          </c:tx>
          <c:layout>
            <c:manualLayout>
              <c:xMode val="edge"/>
              <c:yMode val="edge"/>
              <c:x val="1.47368686158718E-2"/>
              <c:y val="0.40730378977275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3062824"/>
        <c:crossesAt val="-50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6316016707472E-2"/>
          <c:y val="1.40449582680262E-2"/>
          <c:w val="0.98105439642803605"/>
          <c:h val="0.2078653823667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ja-JP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17</xdr:row>
      <xdr:rowOff>88900</xdr:rowOff>
    </xdr:from>
    <xdr:to>
      <xdr:col>5</xdr:col>
      <xdr:colOff>723900</xdr:colOff>
      <xdr:row>44</xdr:row>
      <xdr:rowOff>139700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17</xdr:row>
      <xdr:rowOff>114300</xdr:rowOff>
    </xdr:from>
    <xdr:to>
      <xdr:col>12</xdr:col>
      <xdr:colOff>76200</xdr:colOff>
      <xdr:row>45</xdr:row>
      <xdr:rowOff>12700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66"/>
  <sheetViews>
    <sheetView tabSelected="1" showRuler="0" workbookViewId="0">
      <selection activeCell="I12" sqref="I12"/>
    </sheetView>
  </sheetViews>
  <sheetFormatPr baseColWidth="10" defaultRowHeight="13"/>
  <cols>
    <col min="1" max="1" width="4" customWidth="1"/>
    <col min="2" max="2" width="19.1640625" customWidth="1"/>
    <col min="3" max="3" width="12.6640625" customWidth="1"/>
    <col min="4" max="4" width="14.1640625" customWidth="1"/>
    <col min="5" max="5" width="13.6640625" customWidth="1"/>
    <col min="6" max="6" width="11.33203125" customWidth="1"/>
    <col min="7" max="7" width="12.6640625" customWidth="1"/>
    <col min="8" max="8" width="12.33203125" customWidth="1"/>
    <col min="9" max="9" width="13.33203125" customWidth="1"/>
    <col min="10" max="10" width="10.33203125" customWidth="1"/>
    <col min="13" max="13" width="12.1640625" customWidth="1"/>
    <col min="15" max="15" width="14.5" customWidth="1"/>
  </cols>
  <sheetData>
    <row r="1" spans="1:17" ht="14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10"/>
    </row>
    <row r="2" spans="1:17" ht="14" thickBot="1">
      <c r="A2" s="25"/>
      <c r="B2" s="39" t="s">
        <v>37</v>
      </c>
      <c r="C2" s="40"/>
      <c r="D2" s="36"/>
      <c r="E2" s="36"/>
      <c r="F2" s="37" t="s">
        <v>113</v>
      </c>
      <c r="G2" s="38"/>
      <c r="H2" s="27"/>
      <c r="I2" s="28"/>
      <c r="J2" s="28"/>
      <c r="K2" s="25"/>
      <c r="L2" s="25"/>
      <c r="M2" s="25"/>
      <c r="N2" s="26"/>
      <c r="O2" s="10"/>
    </row>
    <row r="3" spans="1:17" ht="42">
      <c r="A3" s="25"/>
      <c r="B3" s="41" t="s">
        <v>2</v>
      </c>
      <c r="C3" s="42" t="s">
        <v>152</v>
      </c>
      <c r="D3" s="43" t="s">
        <v>1</v>
      </c>
      <c r="E3" s="25"/>
      <c r="F3" s="29" t="s">
        <v>4</v>
      </c>
      <c r="G3" s="30" t="s">
        <v>99</v>
      </c>
      <c r="H3" s="30" t="s">
        <v>66</v>
      </c>
      <c r="I3" s="30" t="s">
        <v>138</v>
      </c>
      <c r="J3" s="31" t="s">
        <v>108</v>
      </c>
      <c r="K3" s="25"/>
      <c r="L3" s="25"/>
      <c r="M3" s="25"/>
      <c r="N3" s="26"/>
      <c r="O3" s="10"/>
    </row>
    <row r="4" spans="1:17" ht="14" thickBot="1">
      <c r="A4" s="25"/>
      <c r="B4" s="44">
        <v>2.9000000000000001E-2</v>
      </c>
      <c r="C4" s="61">
        <f>8.314/B4</f>
        <v>286.68965517241378</v>
      </c>
      <c r="D4" s="45">
        <v>1.3</v>
      </c>
      <c r="E4" s="25"/>
      <c r="F4" s="32">
        <v>43000000</v>
      </c>
      <c r="G4" s="33">
        <v>250</v>
      </c>
      <c r="H4" s="33">
        <v>0.25</v>
      </c>
      <c r="I4" s="33">
        <v>0.01</v>
      </c>
      <c r="J4" s="34">
        <v>0.8</v>
      </c>
      <c r="K4" s="25"/>
      <c r="L4" s="25"/>
      <c r="M4" s="25"/>
      <c r="N4" s="26"/>
      <c r="O4" s="10"/>
    </row>
    <row r="5" spans="1:17" ht="14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10"/>
    </row>
    <row r="6" spans="1:17" s="2" customFormat="1" ht="43" thickBot="1">
      <c r="B6" s="62" t="s">
        <v>136</v>
      </c>
      <c r="C6" s="65" t="s">
        <v>109</v>
      </c>
      <c r="D6" s="65" t="s">
        <v>110</v>
      </c>
      <c r="E6" s="65" t="s">
        <v>111</v>
      </c>
      <c r="F6" s="65" t="s">
        <v>112</v>
      </c>
      <c r="G6" s="65" t="s">
        <v>55</v>
      </c>
      <c r="H6" s="65" t="s">
        <v>125</v>
      </c>
      <c r="I6" s="65" t="s">
        <v>56</v>
      </c>
      <c r="J6" s="78"/>
      <c r="K6" s="50" t="s">
        <v>33</v>
      </c>
      <c r="L6" s="51" t="s">
        <v>137</v>
      </c>
      <c r="M6" s="23"/>
      <c r="N6" s="23"/>
      <c r="O6" s="8"/>
    </row>
    <row r="7" spans="1:17" s="2" customFormat="1" ht="27" customHeight="1" thickBot="1">
      <c r="B7" s="63" t="s">
        <v>131</v>
      </c>
      <c r="C7" s="66" t="s">
        <v>14</v>
      </c>
      <c r="D7" s="66" t="s">
        <v>114</v>
      </c>
      <c r="E7" s="66" t="s">
        <v>120</v>
      </c>
      <c r="F7" s="66"/>
      <c r="G7" s="66" t="s">
        <v>54</v>
      </c>
      <c r="H7" s="66" t="s">
        <v>67</v>
      </c>
      <c r="I7" s="66" t="s">
        <v>58</v>
      </c>
      <c r="J7" s="78"/>
      <c r="K7" s="48">
        <v>0.01</v>
      </c>
      <c r="L7" s="49">
        <v>0.2</v>
      </c>
      <c r="M7" s="25"/>
      <c r="N7" s="23"/>
      <c r="O7" s="10"/>
      <c r="P7"/>
      <c r="Q7"/>
    </row>
    <row r="8" spans="1:17" s="2" customFormat="1" ht="14">
      <c r="B8" s="63" t="s">
        <v>132</v>
      </c>
      <c r="C8" s="72">
        <v>0</v>
      </c>
      <c r="D8" s="72">
        <v>10.97</v>
      </c>
      <c r="E8" s="73">
        <v>5</v>
      </c>
      <c r="F8" s="68"/>
      <c r="G8" s="73">
        <v>7</v>
      </c>
      <c r="H8" s="73">
        <f>H4</f>
        <v>0.25</v>
      </c>
      <c r="I8" s="73">
        <v>0</v>
      </c>
      <c r="J8" s="25"/>
      <c r="K8" s="25"/>
      <c r="L8" s="25"/>
      <c r="M8" s="25"/>
      <c r="N8" s="23"/>
      <c r="O8" s="10"/>
      <c r="P8"/>
      <c r="Q8"/>
    </row>
    <row r="9" spans="1:17" s="2" customFormat="1" ht="14">
      <c r="B9" s="63" t="s">
        <v>134</v>
      </c>
      <c r="C9" s="69"/>
      <c r="D9" s="69"/>
      <c r="E9" s="70"/>
      <c r="F9" s="70"/>
      <c r="G9" s="71" t="s">
        <v>135</v>
      </c>
      <c r="H9" s="66"/>
      <c r="I9" s="71" t="s">
        <v>57</v>
      </c>
      <c r="J9" s="25"/>
      <c r="K9" s="36"/>
      <c r="L9" s="25"/>
      <c r="M9" s="25"/>
      <c r="N9" s="23"/>
      <c r="O9" s="10"/>
      <c r="P9"/>
      <c r="Q9"/>
    </row>
    <row r="10" spans="1:17" s="2" customFormat="1" ht="14">
      <c r="B10" s="63" t="s">
        <v>133</v>
      </c>
      <c r="C10" s="67"/>
      <c r="D10" s="67"/>
      <c r="E10" s="68"/>
      <c r="F10" s="68"/>
      <c r="G10" s="73" t="b">
        <v>0</v>
      </c>
      <c r="H10" s="68"/>
      <c r="I10" s="73">
        <v>2</v>
      </c>
      <c r="J10" s="25"/>
      <c r="K10" s="25"/>
      <c r="L10" s="25"/>
      <c r="M10" s="25"/>
      <c r="N10" s="23"/>
      <c r="O10" s="10"/>
      <c r="P10"/>
      <c r="Q10"/>
    </row>
    <row r="11" spans="1:17" ht="28">
      <c r="B11" s="63" t="s">
        <v>130</v>
      </c>
      <c r="C11" s="73">
        <v>0.95</v>
      </c>
      <c r="D11" s="73">
        <v>0.92</v>
      </c>
      <c r="E11" s="73">
        <v>0.98</v>
      </c>
      <c r="F11" s="73">
        <v>0.95</v>
      </c>
      <c r="G11" s="73">
        <v>0.98</v>
      </c>
      <c r="H11" s="73">
        <v>0.98</v>
      </c>
      <c r="I11" s="73">
        <v>0.95</v>
      </c>
      <c r="J11" s="25"/>
      <c r="K11" s="47"/>
      <c r="L11" s="46"/>
      <c r="M11" s="25"/>
      <c r="N11" s="26"/>
      <c r="O11" s="10"/>
    </row>
    <row r="12" spans="1:17" s="2" customFormat="1" ht="15" thickBot="1">
      <c r="B12" s="64" t="s">
        <v>140</v>
      </c>
      <c r="C12" s="74">
        <v>264</v>
      </c>
      <c r="D12" s="74">
        <v>419</v>
      </c>
      <c r="E12" s="74">
        <v>874</v>
      </c>
      <c r="F12" s="74">
        <v>1069</v>
      </c>
      <c r="G12" s="74">
        <v>1011</v>
      </c>
      <c r="H12" s="74">
        <v>879</v>
      </c>
      <c r="I12" s="74">
        <v>304</v>
      </c>
      <c r="J12" s="25"/>
      <c r="K12" s="25"/>
      <c r="L12" s="25"/>
      <c r="M12" s="25"/>
      <c r="N12" s="23"/>
      <c r="O12" s="10"/>
      <c r="P12"/>
      <c r="Q12"/>
    </row>
    <row r="13" spans="1:17" s="2" customFormat="1" ht="29" thickBot="1">
      <c r="A13" s="25"/>
      <c r="B13" s="86" t="s">
        <v>151</v>
      </c>
      <c r="C13" s="87">
        <f>AVERAGE(D51:D76)</f>
        <v>264.33684562644567</v>
      </c>
      <c r="D13" s="88">
        <f>AVERAGE(D80:D105)</f>
        <v>419.1551066309699</v>
      </c>
      <c r="E13" s="88">
        <f>AVERAGE(D109:D134)</f>
        <v>874.23808526580547</v>
      </c>
      <c r="F13" s="88">
        <f>AVERAGE(D138:D163,D167:D192)</f>
        <v>1069.0576115711158</v>
      </c>
      <c r="G13" s="88">
        <f>AVERAGE(D167:D192)</f>
        <v>1011.1737387624878</v>
      </c>
      <c r="H13" s="88">
        <f>AVERAGE(D225:D250)</f>
        <v>878.71220774930941</v>
      </c>
      <c r="I13" s="89">
        <f>AVERAGE(D283:D308,D312:D337,D341:D366)</f>
        <v>303.49696865535401</v>
      </c>
      <c r="J13" s="25"/>
      <c r="K13" s="25"/>
      <c r="L13" s="25"/>
      <c r="M13" s="25"/>
      <c r="N13" s="23"/>
      <c r="O13" s="10"/>
      <c r="P13"/>
      <c r="Q13"/>
    </row>
    <row r="14" spans="1:17" s="2" customFormat="1" ht="14" thickBot="1">
      <c r="A14" s="25"/>
      <c r="B14" s="35"/>
      <c r="C14" s="35"/>
      <c r="D14" s="46"/>
      <c r="E14" s="46"/>
      <c r="F14" s="46"/>
      <c r="G14" s="46"/>
      <c r="H14" s="25"/>
      <c r="I14" s="25"/>
      <c r="J14" s="25"/>
      <c r="K14" s="25"/>
      <c r="L14" s="25"/>
      <c r="M14" s="25"/>
      <c r="N14" s="23"/>
      <c r="O14" s="10"/>
      <c r="P14"/>
      <c r="Q14"/>
    </row>
    <row r="15" spans="1:17" ht="14" thickBot="1">
      <c r="A15" s="25"/>
      <c r="B15" s="58" t="s">
        <v>68</v>
      </c>
      <c r="C15" s="59"/>
      <c r="D15" s="60"/>
      <c r="E15" s="25"/>
      <c r="F15" s="25"/>
      <c r="G15" s="25"/>
      <c r="H15" s="25"/>
      <c r="I15" s="25"/>
      <c r="J15" s="25"/>
      <c r="K15" s="25"/>
      <c r="L15" s="25"/>
      <c r="M15" s="25"/>
      <c r="N15" s="23"/>
      <c r="O15" s="10"/>
    </row>
    <row r="16" spans="1:17" ht="57" thickBot="1">
      <c r="A16" s="25"/>
      <c r="B16" s="52" t="s">
        <v>139</v>
      </c>
      <c r="C16" s="53" t="s">
        <v>3</v>
      </c>
      <c r="D16" s="53" t="s">
        <v>59</v>
      </c>
      <c r="E16" s="53" t="s">
        <v>6</v>
      </c>
      <c r="F16" s="53" t="s">
        <v>7</v>
      </c>
      <c r="G16" s="53" t="s">
        <v>50</v>
      </c>
      <c r="H16" s="53" t="s">
        <v>51</v>
      </c>
      <c r="I16" s="53" t="s">
        <v>61</v>
      </c>
      <c r="J16" s="53" t="s">
        <v>52</v>
      </c>
      <c r="K16" s="53" t="s">
        <v>63</v>
      </c>
      <c r="L16" s="53" t="s">
        <v>64</v>
      </c>
      <c r="M16" s="53" t="s">
        <v>65</v>
      </c>
      <c r="N16" s="53" t="s">
        <v>62</v>
      </c>
      <c r="O16" s="54" t="s">
        <v>87</v>
      </c>
      <c r="P16" s="8"/>
    </row>
    <row r="17" spans="1:17" ht="14" thickBot="1">
      <c r="A17" s="25"/>
      <c r="B17" s="55">
        <f>(1/G51)*I51*I4</f>
        <v>0.86306254332612942</v>
      </c>
      <c r="C17" s="56">
        <f>SUM(L109:L133)/F4+SUM(L196:L221)/F4</f>
        <v>2.1931746909512759E-2</v>
      </c>
      <c r="D17" s="56">
        <f>C17/(1-C17)</f>
        <v>2.2423534186099089E-2</v>
      </c>
      <c r="E17" s="57">
        <f>I250</f>
        <v>854.32787734086912</v>
      </c>
      <c r="F17" s="57">
        <f>N250</f>
        <v>7.8665422330026959E-3</v>
      </c>
      <c r="G17" s="57">
        <f>B17*((1+D17)*E17-I51)+(H8-H4)*F17*101325-L7*I4*(1/G51)*I51^2/2</f>
        <v>522.04052326173735</v>
      </c>
      <c r="H17" s="57">
        <f>B17*I8*(I366-I283)-L7*I4*I8*(1/G283)*I283^2/2</f>
        <v>0</v>
      </c>
      <c r="I17" s="56">
        <f>(G17+H17)/(B17*(1+I8)*H51)</f>
        <v>1.9815920714446553</v>
      </c>
      <c r="J17" s="56">
        <f>(1+D17)*J250*SQRT(D250/G4)-J4+(1-H4/H8)*SQRT(D250/G4)/($D$4*J250)</f>
        <v>2.0615920714446556</v>
      </c>
      <c r="K17" s="56">
        <f>J4/N17</f>
        <v>5.2223127799376252</v>
      </c>
      <c r="L17" s="56">
        <f>((B17*(1+D17)*E17^2/2-B17*I51^2/2)+(B17*I8*I366^2/2-B17*I8*I283^2/2))/(B17*D17*F4)</f>
        <v>0.35604778682513499</v>
      </c>
      <c r="M17" s="56">
        <f>((G17+H17)*I51)/((B17*(1+D17)*E17^2/2-B17*I51^2/2)+(B17*I8*I366^2/2-B17*I8*I283^2/2))</f>
        <v>0.43024795717668796</v>
      </c>
      <c r="N17" s="56">
        <f>(G17+H17)*I51/(D17*B17*F4)</f>
        <v>0.15318883293879521</v>
      </c>
      <c r="O17" s="80">
        <f>(G17+H17)/(B17*D17*9.81)</f>
        <v>2749.7225617642407</v>
      </c>
      <c r="P17" s="24"/>
    </row>
    <row r="18" spans="1:1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7">
      <c r="H19" s="4"/>
      <c r="I19" s="4"/>
      <c r="M19" s="16"/>
    </row>
    <row r="20" spans="1:17">
      <c r="M20" s="16">
        <f>K17*SQRT(D4*C4*G4)/F4</f>
        <v>3.7071667011781092E-5</v>
      </c>
    </row>
    <row r="24" spans="1:17">
      <c r="N24" s="9"/>
      <c r="O24" s="2"/>
      <c r="P24" s="2"/>
    </row>
    <row r="25" spans="1:17">
      <c r="M25" s="4"/>
    </row>
    <row r="26" spans="1:17">
      <c r="Q26" s="2"/>
    </row>
    <row r="29" spans="1:17">
      <c r="M29" s="9" t="s">
        <v>153</v>
      </c>
    </row>
    <row r="46" spans="2:5">
      <c r="C46" s="2"/>
      <c r="D46" s="2"/>
      <c r="E46" s="2"/>
    </row>
    <row r="47" spans="2:5">
      <c r="C47" s="4"/>
      <c r="D47" s="4"/>
    </row>
    <row r="48" spans="2:5">
      <c r="B48" s="17"/>
      <c r="C48" s="17"/>
    </row>
    <row r="49" spans="2:15">
      <c r="B49" s="18" t="s">
        <v>109</v>
      </c>
      <c r="C49" s="18" t="s">
        <v>118</v>
      </c>
      <c r="D49" s="14">
        <f>$D$4</f>
        <v>1.3</v>
      </c>
      <c r="E49" s="5" t="s">
        <v>119</v>
      </c>
      <c r="F49" s="4">
        <f>C$4*D49/(D49-1)</f>
        <v>1242.3218390804595</v>
      </c>
      <c r="G49" s="4"/>
      <c r="H49" s="4"/>
      <c r="I49" s="4"/>
      <c r="J49" s="4"/>
      <c r="K49" s="22"/>
    </row>
    <row r="50" spans="2:15">
      <c r="B50" s="17" t="s">
        <v>5</v>
      </c>
      <c r="C50" s="17" t="s">
        <v>121</v>
      </c>
      <c r="D50" t="s">
        <v>41</v>
      </c>
      <c r="E50" t="s">
        <v>123</v>
      </c>
      <c r="F50" t="s">
        <v>143</v>
      </c>
      <c r="G50" s="1" t="s">
        <v>15</v>
      </c>
      <c r="H50" s="22" t="s">
        <v>46</v>
      </c>
      <c r="I50" s="21" t="s">
        <v>47</v>
      </c>
      <c r="J50" s="6" t="s">
        <v>115</v>
      </c>
      <c r="K50" s="22" t="s">
        <v>98</v>
      </c>
      <c r="L50" s="4" t="s">
        <v>45</v>
      </c>
      <c r="M50" s="10" t="s">
        <v>44</v>
      </c>
      <c r="N50" s="10" t="s">
        <v>48</v>
      </c>
      <c r="O50" s="12" t="s">
        <v>144</v>
      </c>
    </row>
    <row r="51" spans="2:15">
      <c r="B51" s="19">
        <f>H4</f>
        <v>0.25</v>
      </c>
      <c r="C51" s="79">
        <f>B51*(1+((D$49-1)/2)*J51^2)^(D$49/(D$49-1))</f>
        <v>0.37192246364038956</v>
      </c>
      <c r="D51" s="21">
        <f>G4</f>
        <v>250</v>
      </c>
      <c r="E51" s="21">
        <f>D51*(1+((D$49-1)/2)*J51^2)</f>
        <v>274</v>
      </c>
      <c r="F51" s="21">
        <f t="shared" ref="F51:F76" si="0">E51*(1-$K$7)+$K$7*$C$12</f>
        <v>273.89999999999998</v>
      </c>
      <c r="G51" s="6">
        <f t="shared" ref="G51:G76" si="1">($C$4*D51)/(101325*B51)</f>
        <v>2.829406910164459</v>
      </c>
      <c r="H51" s="22">
        <f t="shared" ref="H51:H76" si="2">SQRT($D$49*$C$4*D51)</f>
        <v>305.24439049888286</v>
      </c>
      <c r="I51" s="21">
        <f>H51*J51</f>
        <v>244.19551239910629</v>
      </c>
      <c r="J51" s="6">
        <f>J4</f>
        <v>0.8</v>
      </c>
      <c r="K51" s="21">
        <f t="shared" ref="K51:K76" si="3">$F$49*LN(D51/$G$4)-$C$4*LN(B51/$H$4)</f>
        <v>0</v>
      </c>
      <c r="L51" s="3"/>
      <c r="N51" s="16">
        <f>$B$17*G51/(I51+0.0000000001)</f>
        <v>9.9999999999959063E-3</v>
      </c>
      <c r="O51" s="12" t="s">
        <v>145</v>
      </c>
    </row>
    <row r="52" spans="2:15">
      <c r="B52" s="19">
        <f t="shared" ref="B52:B76" si="4">C52/((1+((D$49-1)/2)*J52^2)^(D$49/(D$49-1)))</f>
        <v>0.25552422426821303</v>
      </c>
      <c r="C52" s="79">
        <f>C51+(C$76-C$51)/25</f>
        <v>0.36895747383584054</v>
      </c>
      <c r="D52" s="21">
        <f>F52/(1+((D$49-1)/2)*J52^2)</f>
        <v>251.54583446029375</v>
      </c>
      <c r="E52" s="21">
        <f>F51</f>
        <v>273.89999999999998</v>
      </c>
      <c r="F52" s="21">
        <f t="shared" si="0"/>
        <v>273.80099999999999</v>
      </c>
      <c r="G52" s="6">
        <f t="shared" si="1"/>
        <v>2.7853543995029288</v>
      </c>
      <c r="H52" s="22">
        <f t="shared" si="2"/>
        <v>306.18665076048353</v>
      </c>
      <c r="I52" s="21">
        <f>H52*J52</f>
        <v>235.15134778405135</v>
      </c>
      <c r="J52" s="6">
        <f>J51+(J$76-J$51)/25</f>
        <v>0.76800000000000002</v>
      </c>
      <c r="K52" s="21">
        <f t="shared" si="3"/>
        <v>1.3920691427978591</v>
      </c>
      <c r="L52" s="3">
        <v>0</v>
      </c>
      <c r="M52">
        <v>0</v>
      </c>
      <c r="N52" s="16">
        <f t="shared" ref="N52:N76" si="5">$B$17*G52/(I52+0.0000000001)</f>
        <v>1.0222926956413733E-2</v>
      </c>
      <c r="O52" s="12" t="s">
        <v>146</v>
      </c>
    </row>
    <row r="53" spans="2:15">
      <c r="B53" s="19">
        <f t="shared" si="4"/>
        <v>0.26088632787502836</v>
      </c>
      <c r="C53" s="79">
        <f t="shared" ref="C53:C75" si="6">C52+(C$76-C$51)/25</f>
        <v>0.36599248403129153</v>
      </c>
      <c r="D53" s="21">
        <f t="shared" ref="D53:D76" si="7">F53/(1+((D$49-1)/2)*J53^2)</f>
        <v>253.13468319758977</v>
      </c>
      <c r="E53" s="21">
        <f t="shared" ref="E53:E76" si="8">F52</f>
        <v>273.80099999999999</v>
      </c>
      <c r="F53" s="21">
        <f t="shared" si="0"/>
        <v>273.70299</v>
      </c>
      <c r="G53" s="6">
        <f t="shared" si="1"/>
        <v>2.7453375103069444</v>
      </c>
      <c r="H53" s="22">
        <f t="shared" si="2"/>
        <v>307.15211793104044</v>
      </c>
      <c r="I53" s="21">
        <f t="shared" ref="I53:I76" si="9">H53*J53</f>
        <v>226.06395879724576</v>
      </c>
      <c r="J53" s="6">
        <f t="shared" ref="J53:J75" si="10">J52+(J$76-J$51)/25</f>
        <v>0.73599999999999999</v>
      </c>
      <c r="K53" s="21">
        <f t="shared" si="3"/>
        <v>3.2604691507435852</v>
      </c>
      <c r="L53" s="3">
        <v>0</v>
      </c>
      <c r="M53">
        <v>0</v>
      </c>
      <c r="N53" s="16">
        <f t="shared" si="5"/>
        <v>1.0481095644521442E-2</v>
      </c>
      <c r="O53" s="12" t="s">
        <v>21</v>
      </c>
    </row>
    <row r="54" spans="2:15">
      <c r="B54" s="19">
        <f t="shared" si="4"/>
        <v>0.2660650004055371</v>
      </c>
      <c r="C54" s="79">
        <f t="shared" si="6"/>
        <v>0.36302749422674252</v>
      </c>
      <c r="D54" s="21">
        <f t="shared" si="7"/>
        <v>254.67296096663412</v>
      </c>
      <c r="E54" s="21">
        <f t="shared" si="8"/>
        <v>273.70299</v>
      </c>
      <c r="F54" s="21">
        <f t="shared" si="0"/>
        <v>273.6059601</v>
      </c>
      <c r="G54" s="6">
        <f t="shared" si="1"/>
        <v>2.7082608929875702</v>
      </c>
      <c r="H54" s="22">
        <f t="shared" si="2"/>
        <v>308.0839729191386</v>
      </c>
      <c r="I54" s="21">
        <f t="shared" si="9"/>
        <v>216.89111693507357</v>
      </c>
      <c r="J54" s="6">
        <f t="shared" si="10"/>
        <v>0.70399999999999996</v>
      </c>
      <c r="K54" s="21">
        <f t="shared" si="3"/>
        <v>5.1519761060096094</v>
      </c>
      <c r="L54" s="3">
        <v>0</v>
      </c>
      <c r="M54">
        <v>0</v>
      </c>
      <c r="N54" s="16">
        <f t="shared" si="5"/>
        <v>1.0776829255718991E-2</v>
      </c>
      <c r="O54" s="12" t="s">
        <v>148</v>
      </c>
    </row>
    <row r="55" spans="2:15">
      <c r="B55" s="19">
        <f t="shared" si="4"/>
        <v>0.27103886686230422</v>
      </c>
      <c r="C55" s="79">
        <f t="shared" si="6"/>
        <v>0.36006250442219351</v>
      </c>
      <c r="D55" s="21">
        <f t="shared" si="7"/>
        <v>256.15834873568184</v>
      </c>
      <c r="E55" s="21">
        <f t="shared" si="8"/>
        <v>273.6059601</v>
      </c>
      <c r="F55" s="21">
        <f t="shared" si="0"/>
        <v>273.50990049899997</v>
      </c>
      <c r="G55" s="6">
        <f t="shared" si="1"/>
        <v>2.6740674147566561</v>
      </c>
      <c r="H55" s="22">
        <f t="shared" si="2"/>
        <v>308.98112121800875</v>
      </c>
      <c r="I55" s="21">
        <f t="shared" si="9"/>
        <v>207.63531345850186</v>
      </c>
      <c r="J55" s="6">
        <f t="shared" si="10"/>
        <v>0.67199999999999993</v>
      </c>
      <c r="K55" s="21">
        <f t="shared" si="3"/>
        <v>7.0668587348218743</v>
      </c>
      <c r="L55" s="3">
        <v>0</v>
      </c>
      <c r="M55">
        <v>0</v>
      </c>
      <c r="N55" s="16">
        <f t="shared" si="5"/>
        <v>1.1115100729074932E-2</v>
      </c>
      <c r="O55" s="12" t="s">
        <v>19</v>
      </c>
    </row>
    <row r="56" spans="2:15">
      <c r="B56" s="19">
        <f t="shared" si="4"/>
        <v>0.27578663228311634</v>
      </c>
      <c r="C56" s="79">
        <f t="shared" si="6"/>
        <v>0.3570975146176445</v>
      </c>
      <c r="D56" s="21">
        <f t="shared" si="7"/>
        <v>257.58856034633141</v>
      </c>
      <c r="E56" s="21">
        <f t="shared" si="8"/>
        <v>273.50990049899997</v>
      </c>
      <c r="F56" s="21">
        <f t="shared" si="0"/>
        <v>273.41480149400996</v>
      </c>
      <c r="G56" s="6">
        <f t="shared" si="1"/>
        <v>2.6427055096529539</v>
      </c>
      <c r="H56" s="22">
        <f t="shared" si="2"/>
        <v>309.84248934686593</v>
      </c>
      <c r="I56" s="21">
        <f t="shared" si="9"/>
        <v>198.29919318199416</v>
      </c>
      <c r="J56" s="6">
        <f t="shared" si="10"/>
        <v>0.6399999999999999</v>
      </c>
      <c r="K56" s="21">
        <f t="shared" si="3"/>
        <v>9.0053937613910193</v>
      </c>
      <c r="L56" s="3">
        <v>0</v>
      </c>
      <c r="M56">
        <v>0</v>
      </c>
      <c r="N56" s="16">
        <f t="shared" si="5"/>
        <v>1.1501913355384266E-2</v>
      </c>
      <c r="O56" s="12" t="s">
        <v>20</v>
      </c>
    </row>
    <row r="57" spans="2:15">
      <c r="B57" s="19">
        <f t="shared" si="4"/>
        <v>0.28028723371475411</v>
      </c>
      <c r="C57" s="79">
        <f t="shared" si="6"/>
        <v>0.35413252481309548</v>
      </c>
      <c r="D57" s="21">
        <f t="shared" si="7"/>
        <v>258.96135019528157</v>
      </c>
      <c r="E57" s="21">
        <f t="shared" si="8"/>
        <v>273.41480149400996</v>
      </c>
      <c r="F57" s="21">
        <f t="shared" si="0"/>
        <v>273.32065347906985</v>
      </c>
      <c r="G57" s="6">
        <f t="shared" si="1"/>
        <v>2.6141291702700866</v>
      </c>
      <c r="H57" s="22">
        <f t="shared" si="2"/>
        <v>310.66702793764318</v>
      </c>
      <c r="I57" s="21">
        <f t="shared" si="9"/>
        <v>188.88555298608702</v>
      </c>
      <c r="J57" s="6">
        <f t="shared" si="10"/>
        <v>0.60799999999999987</v>
      </c>
      <c r="K57" s="21">
        <f t="shared" si="3"/>
        <v>10.967866160866265</v>
      </c>
      <c r="L57" s="3">
        <v>0</v>
      </c>
      <c r="M57">
        <v>0</v>
      </c>
      <c r="N57" s="16">
        <f t="shared" si="5"/>
        <v>1.194457137990493E-2</v>
      </c>
      <c r="O57" s="12" t="s">
        <v>22</v>
      </c>
    </row>
    <row r="58" spans="2:15">
      <c r="B58" s="19">
        <f t="shared" si="4"/>
        <v>0.28451999813823403</v>
      </c>
      <c r="C58" s="79">
        <f t="shared" si="6"/>
        <v>0.35116753500854647</v>
      </c>
      <c r="D58" s="21">
        <f t="shared" si="7"/>
        <v>260.27452102132349</v>
      </c>
      <c r="E58" s="21">
        <f t="shared" si="8"/>
        <v>273.32065347906985</v>
      </c>
      <c r="F58" s="21">
        <f t="shared" si="0"/>
        <v>273.22744694427911</v>
      </c>
      <c r="G58" s="6">
        <f t="shared" si="1"/>
        <v>2.5882979514138982</v>
      </c>
      <c r="H58" s="22">
        <f t="shared" si="2"/>
        <v>311.4537148378534</v>
      </c>
      <c r="I58" s="21">
        <f t="shared" si="9"/>
        <v>179.39733974660351</v>
      </c>
      <c r="J58" s="6">
        <f t="shared" si="10"/>
        <v>0.57599999999999985</v>
      </c>
      <c r="K58" s="21">
        <f t="shared" si="3"/>
        <v>12.954569423034592</v>
      </c>
      <c r="L58" s="3">
        <v>0</v>
      </c>
      <c r="M58">
        <v>0</v>
      </c>
      <c r="N58" s="16">
        <f t="shared" si="5"/>
        <v>1.2452040905328631E-2</v>
      </c>
      <c r="O58" s="12" t="s">
        <v>100</v>
      </c>
    </row>
    <row r="59" spans="2:15">
      <c r="B59" s="19">
        <f t="shared" si="4"/>
        <v>0.28846480475534381</v>
      </c>
      <c r="C59" s="79">
        <f t="shared" si="6"/>
        <v>0.34820254520399746</v>
      </c>
      <c r="D59" s="21">
        <f t="shared" si="7"/>
        <v>261.52593175390763</v>
      </c>
      <c r="E59" s="21">
        <f t="shared" si="8"/>
        <v>273.22744694427911</v>
      </c>
      <c r="F59" s="21">
        <f t="shared" si="0"/>
        <v>273.13517247483628</v>
      </c>
      <c r="G59" s="6">
        <f t="shared" si="1"/>
        <v>2.5651769862160183</v>
      </c>
      <c r="H59" s="22">
        <f t="shared" si="2"/>
        <v>312.20155821379814</v>
      </c>
      <c r="I59" s="21">
        <f t="shared" si="9"/>
        <v>169.83764766830612</v>
      </c>
      <c r="J59" s="6">
        <f t="shared" si="10"/>
        <v>0.54399999999999982</v>
      </c>
      <c r="K59" s="21">
        <f t="shared" si="3"/>
        <v>14.965805827300528</v>
      </c>
      <c r="L59" s="3">
        <v>0</v>
      </c>
      <c r="M59">
        <v>0</v>
      </c>
      <c r="N59" s="16">
        <f t="shared" si="5"/>
        <v>1.3035438280019776E-2</v>
      </c>
      <c r="O59" s="12" t="s">
        <v>70</v>
      </c>
    </row>
    <row r="60" spans="2:15">
      <c r="B60" s="19">
        <f t="shared" si="4"/>
        <v>0.29210224987724698</v>
      </c>
      <c r="C60" s="79">
        <f t="shared" si="6"/>
        <v>0.34523755539944845</v>
      </c>
      <c r="D60" s="21">
        <f t="shared" si="7"/>
        <v>262.71350537705354</v>
      </c>
      <c r="E60" s="21">
        <f t="shared" si="8"/>
        <v>273.13517247483628</v>
      </c>
      <c r="F60" s="21">
        <f t="shared" si="0"/>
        <v>273.04382075008789</v>
      </c>
      <c r="G60" s="6">
        <f t="shared" si="1"/>
        <v>2.544737015273717</v>
      </c>
      <c r="H60" s="22">
        <f t="shared" si="2"/>
        <v>312.90959963764072</v>
      </c>
      <c r="I60" s="21">
        <f t="shared" si="9"/>
        <v>160.20971501447198</v>
      </c>
      <c r="J60" s="6">
        <f t="shared" si="10"/>
        <v>0.51199999999999979</v>
      </c>
      <c r="K60" s="21">
        <f t="shared" si="3"/>
        <v>17.00188672953356</v>
      </c>
      <c r="L60" s="3">
        <v>0</v>
      </c>
      <c r="M60">
        <v>0</v>
      </c>
      <c r="N60" s="16">
        <f t="shared" si="5"/>
        <v>1.3708701749444564E-2</v>
      </c>
      <c r="O60" s="12" t="s">
        <v>107</v>
      </c>
    </row>
    <row r="61" spans="2:15">
      <c r="B61" s="19">
        <f t="shared" si="4"/>
        <v>0.29541381250851356</v>
      </c>
      <c r="C61" s="79">
        <f t="shared" si="6"/>
        <v>0.34227256559489944</v>
      </c>
      <c r="D61" s="21">
        <f t="shared" si="7"/>
        <v>263.83523676015602</v>
      </c>
      <c r="E61" s="21">
        <f t="shared" si="8"/>
        <v>273.04382075008789</v>
      </c>
      <c r="F61" s="21">
        <f t="shared" si="0"/>
        <v>272.95338254258701</v>
      </c>
      <c r="G61" s="6">
        <f t="shared" si="1"/>
        <v>2.5269544294329438</v>
      </c>
      <c r="H61" s="22">
        <f t="shared" si="2"/>
        <v>313.57691714128396</v>
      </c>
      <c r="I61" s="21">
        <f t="shared" si="9"/>
        <v>150.51692022781623</v>
      </c>
      <c r="J61" s="6">
        <f t="shared" si="10"/>
        <v>0.47999999999999976</v>
      </c>
      <c r="K61" s="21">
        <f t="shared" si="3"/>
        <v>19.06313286139666</v>
      </c>
      <c r="L61" s="3">
        <v>0</v>
      </c>
      <c r="M61">
        <v>0</v>
      </c>
      <c r="N61" s="16">
        <f t="shared" si="5"/>
        <v>1.4489531897365597E-2</v>
      </c>
      <c r="O61" s="12" t="s">
        <v>71</v>
      </c>
    </row>
    <row r="62" spans="2:15">
      <c r="B62" s="19">
        <f t="shared" si="4"/>
        <v>0.29838201859907831</v>
      </c>
      <c r="C62" s="79">
        <f t="shared" si="6"/>
        <v>0.33930757579035042</v>
      </c>
      <c r="D62" s="21">
        <f t="shared" si="7"/>
        <v>264.8892004054353</v>
      </c>
      <c r="E62" s="21">
        <f t="shared" si="8"/>
        <v>272.95338254258701</v>
      </c>
      <c r="F62" s="21">
        <f t="shared" si="0"/>
        <v>272.86384871716115</v>
      </c>
      <c r="G62" s="6">
        <f t="shared" si="1"/>
        <v>2.5118113268819875</v>
      </c>
      <c r="H62" s="22">
        <f t="shared" si="2"/>
        <v>314.20262821954537</v>
      </c>
      <c r="I62" s="21">
        <f t="shared" si="9"/>
        <v>140.76277744235625</v>
      </c>
      <c r="J62" s="6">
        <f t="shared" si="10"/>
        <v>0.44799999999999973</v>
      </c>
      <c r="K62" s="21">
        <f t="shared" si="3"/>
        <v>21.149874642801947</v>
      </c>
      <c r="L62" s="3">
        <v>0</v>
      </c>
      <c r="M62">
        <v>0</v>
      </c>
      <c r="N62" s="16">
        <f t="shared" si="5"/>
        <v>1.5400735276201583E-2</v>
      </c>
      <c r="O62" s="12" t="s">
        <v>72</v>
      </c>
    </row>
    <row r="63" spans="2:15">
      <c r="B63" s="19">
        <f t="shared" si="4"/>
        <v>0.30099060184695026</v>
      </c>
      <c r="C63" s="79">
        <f t="shared" si="6"/>
        <v>0.33634258598580141</v>
      </c>
      <c r="D63" s="21">
        <f t="shared" si="7"/>
        <v>265.8735580604336</v>
      </c>
      <c r="E63" s="21">
        <f t="shared" si="8"/>
        <v>272.86384871716115</v>
      </c>
      <c r="F63" s="21">
        <f t="shared" si="0"/>
        <v>272.77521022998951</v>
      </c>
      <c r="G63" s="6">
        <f t="shared" si="1"/>
        <v>2.4992955852778378</v>
      </c>
      <c r="H63" s="22">
        <f t="shared" si="2"/>
        <v>314.7858927648299</v>
      </c>
      <c r="I63" s="21">
        <f t="shared" si="9"/>
        <v>130.95093139016913</v>
      </c>
      <c r="J63" s="6">
        <f t="shared" si="10"/>
        <v>0.4159999999999997</v>
      </c>
      <c r="K63" s="21">
        <f t="shared" si="3"/>
        <v>23.262452508190343</v>
      </c>
      <c r="L63" s="3">
        <v>0</v>
      </c>
      <c r="M63">
        <v>0</v>
      </c>
      <c r="N63" s="16">
        <f t="shared" si="5"/>
        <v>1.6472188333850574E-2</v>
      </c>
      <c r="O63" s="12" t="s">
        <v>147</v>
      </c>
    </row>
    <row r="64" spans="2:15">
      <c r="B64" s="19">
        <f t="shared" si="4"/>
        <v>0.30322465888004413</v>
      </c>
      <c r="C64" s="79">
        <f t="shared" si="6"/>
        <v>0.3333775961812524</v>
      </c>
      <c r="D64" s="21">
        <f t="shared" si="7"/>
        <v>266.78656614310984</v>
      </c>
      <c r="E64" s="21">
        <f t="shared" si="8"/>
        <v>272.77521022998951</v>
      </c>
      <c r="F64" s="21">
        <f t="shared" si="0"/>
        <v>272.68745812768958</v>
      </c>
      <c r="G64" s="6">
        <f t="shared" si="1"/>
        <v>2.489400949686551</v>
      </c>
      <c r="H64" s="22">
        <f t="shared" si="2"/>
        <v>315.32591591535999</v>
      </c>
      <c r="I64" s="21">
        <f t="shared" si="9"/>
        <v>121.08515171149813</v>
      </c>
      <c r="J64" s="6">
        <f t="shared" si="10"/>
        <v>0.38399999999999967</v>
      </c>
      <c r="K64" s="21">
        <f t="shared" si="3"/>
        <v>25.40121724736705</v>
      </c>
      <c r="L64" s="3">
        <v>0</v>
      </c>
      <c r="M64">
        <v>0</v>
      </c>
      <c r="N64" s="16">
        <f t="shared" si="5"/>
        <v>1.7743783483149915E-2</v>
      </c>
      <c r="O64" s="12" t="s">
        <v>128</v>
      </c>
    </row>
    <row r="65" spans="2:15">
      <c r="B65" s="19">
        <f t="shared" si="4"/>
        <v>0.30507079662974962</v>
      </c>
      <c r="C65" s="79">
        <f t="shared" si="6"/>
        <v>0.33041260637670339</v>
      </c>
      <c r="D65" s="21">
        <f t="shared" si="7"/>
        <v>267.62658292676895</v>
      </c>
      <c r="E65" s="21">
        <f t="shared" si="8"/>
        <v>272.68745812768958</v>
      </c>
      <c r="F65" s="21">
        <f t="shared" si="0"/>
        <v>272.60058354641268</v>
      </c>
      <c r="G65" s="6">
        <f t="shared" si="1"/>
        <v>2.4821271371828817</v>
      </c>
      <c r="H65" s="22">
        <f t="shared" si="2"/>
        <v>315.82195079905517</v>
      </c>
      <c r="I65" s="21">
        <f t="shared" si="9"/>
        <v>111.16932668126731</v>
      </c>
      <c r="J65" s="6">
        <f t="shared" si="10"/>
        <v>0.35199999999999965</v>
      </c>
      <c r="K65" s="21">
        <f t="shared" si="3"/>
        <v>27.566530361674424</v>
      </c>
      <c r="L65" s="3">
        <v>0</v>
      </c>
      <c r="M65">
        <v>0</v>
      </c>
      <c r="N65" s="16">
        <f t="shared" si="5"/>
        <v>1.926998232179555E-2</v>
      </c>
      <c r="O65" s="13" t="s">
        <v>149</v>
      </c>
    </row>
    <row r="66" spans="2:15">
      <c r="B66" s="19">
        <f t="shared" si="4"/>
        <v>0.30651726973435173</v>
      </c>
      <c r="C66" s="79">
        <f t="shared" si="6"/>
        <v>0.32744761657215438</v>
      </c>
      <c r="D66" s="21">
        <f t="shared" si="7"/>
        <v>268.39207543230827</v>
      </c>
      <c r="E66" s="21">
        <f t="shared" si="8"/>
        <v>272.60058354641268</v>
      </c>
      <c r="F66" s="21">
        <f t="shared" si="0"/>
        <v>272.51457771094852</v>
      </c>
      <c r="G66" s="6">
        <f t="shared" si="1"/>
        <v>2.4774799590238161</v>
      </c>
      <c r="H66" s="22">
        <f t="shared" si="2"/>
        <v>316.27330115535523</v>
      </c>
      <c r="I66" s="21">
        <f t="shared" si="9"/>
        <v>101.20745636971355</v>
      </c>
      <c r="J66" s="6">
        <f t="shared" si="10"/>
        <v>0.31999999999999962</v>
      </c>
      <c r="K66" s="21">
        <f t="shared" si="3"/>
        <v>29.758764436326814</v>
      </c>
      <c r="L66" s="3">
        <v>0</v>
      </c>
      <c r="M66">
        <v>0</v>
      </c>
      <c r="N66" s="16">
        <f t="shared" si="5"/>
        <v>2.1127101017750324E-2</v>
      </c>
      <c r="O66" s="12" t="s">
        <v>150</v>
      </c>
    </row>
    <row r="67" spans="2:15">
      <c r="B67" s="19">
        <f t="shared" si="4"/>
        <v>0.30755410587882159</v>
      </c>
      <c r="C67" s="79">
        <f t="shared" si="6"/>
        <v>0.32448262676760536</v>
      </c>
      <c r="D67" s="21">
        <f t="shared" si="7"/>
        <v>269.08162597609481</v>
      </c>
      <c r="E67" s="21">
        <f t="shared" si="8"/>
        <v>272.51457771094852</v>
      </c>
      <c r="F67" s="21">
        <f t="shared" si="0"/>
        <v>272.429431933839</v>
      </c>
      <c r="G67" s="6">
        <f t="shared" si="1"/>
        <v>2.4754714613858044</v>
      </c>
      <c r="H67" s="22">
        <f t="shared" si="2"/>
        <v>316.67932381766695</v>
      </c>
      <c r="I67" s="21">
        <f t="shared" si="9"/>
        <v>91.203645259487956</v>
      </c>
      <c r="J67" s="6">
        <f t="shared" si="10"/>
        <v>0.28799999999999959</v>
      </c>
      <c r="K67" s="21">
        <f t="shared" si="3"/>
        <v>31.978303529797842</v>
      </c>
      <c r="L67" s="3">
        <v>0</v>
      </c>
      <c r="M67">
        <v>0</v>
      </c>
      <c r="N67" s="16">
        <f t="shared" si="5"/>
        <v>2.3425452889672526E-2</v>
      </c>
      <c r="O67" s="12" t="s">
        <v>32</v>
      </c>
    </row>
    <row r="68" spans="2:15">
      <c r="B68" s="19">
        <f t="shared" si="4"/>
        <v>0.30817321708937334</v>
      </c>
      <c r="C68" s="79">
        <f t="shared" si="6"/>
        <v>0.32151763696305635</v>
      </c>
      <c r="D68" s="21">
        <f t="shared" si="7"/>
        <v>269.6939383232081</v>
      </c>
      <c r="E68" s="21">
        <f t="shared" si="8"/>
        <v>272.429431933839</v>
      </c>
      <c r="F68" s="21">
        <f t="shared" si="0"/>
        <v>272.34513761450057</v>
      </c>
      <c r="G68" s="6">
        <f t="shared" si="1"/>
        <v>2.4761200857368904</v>
      </c>
      <c r="H68" s="22">
        <f t="shared" si="2"/>
        <v>317.0394310396768</v>
      </c>
      <c r="I68" s="21">
        <f t="shared" si="9"/>
        <v>81.162094346157119</v>
      </c>
      <c r="J68" s="6">
        <f t="shared" si="10"/>
        <v>0.25599999999999956</v>
      </c>
      <c r="K68" s="21">
        <f t="shared" si="3"/>
        <v>34.225543581190223</v>
      </c>
      <c r="L68" s="3">
        <v>0</v>
      </c>
      <c r="M68">
        <v>0</v>
      </c>
      <c r="N68" s="16">
        <f t="shared" si="5"/>
        <v>2.6330598242818096E-2</v>
      </c>
      <c r="O68" s="13" t="s">
        <v>129</v>
      </c>
    </row>
    <row r="69" spans="2:15">
      <c r="B69" s="19">
        <f t="shared" si="4"/>
        <v>0.30836849515591941</v>
      </c>
      <c r="C69" s="79">
        <f t="shared" si="6"/>
        <v>0.31855264715850734</v>
      </c>
      <c r="D69" s="21">
        <f t="shared" si="7"/>
        <v>270.22784339780628</v>
      </c>
      <c r="E69" s="21">
        <f t="shared" si="8"/>
        <v>272.34513761450057</v>
      </c>
      <c r="F69" s="21">
        <f t="shared" si="0"/>
        <v>272.26168623835554</v>
      </c>
      <c r="G69" s="6">
        <f t="shared" si="1"/>
        <v>2.4794508500033308</v>
      </c>
      <c r="H69" s="22">
        <f t="shared" si="2"/>
        <v>317.35309264951673</v>
      </c>
      <c r="I69" s="21">
        <f t="shared" si="9"/>
        <v>71.087092753491604</v>
      </c>
      <c r="J69" s="6">
        <f t="shared" si="10"/>
        <v>0.22399999999999956</v>
      </c>
      <c r="K69" s="21">
        <f t="shared" si="3"/>
        <v>36.500892836593856</v>
      </c>
      <c r="L69" s="3">
        <v>0</v>
      </c>
      <c r="M69">
        <v>0</v>
      </c>
      <c r="N69" s="16">
        <f t="shared" si="5"/>
        <v>3.0102808734541905E-2</v>
      </c>
      <c r="O69" s="12"/>
    </row>
    <row r="70" spans="2:15">
      <c r="B70" s="19">
        <f t="shared" si="4"/>
        <v>0.30813588955137744</v>
      </c>
      <c r="C70" s="79">
        <f t="shared" si="6"/>
        <v>0.31558765735395833</v>
      </c>
      <c r="D70" s="21">
        <f t="shared" si="7"/>
        <v>270.68230450498118</v>
      </c>
      <c r="E70" s="21">
        <f t="shared" si="8"/>
        <v>272.26168623835554</v>
      </c>
      <c r="F70" s="21">
        <f t="shared" si="0"/>
        <v>272.17906937597195</v>
      </c>
      <c r="G70" s="6">
        <f t="shared" si="1"/>
        <v>2.485495551786205</v>
      </c>
      <c r="H70" s="22">
        <f t="shared" si="2"/>
        <v>317.61983801669186</v>
      </c>
      <c r="I70" s="21">
        <f t="shared" si="9"/>
        <v>60.983008899204698</v>
      </c>
      <c r="J70" s="6">
        <f t="shared" si="10"/>
        <v>0.19199999999999956</v>
      </c>
      <c r="K70" s="21">
        <f t="shared" si="3"/>
        <v>38.804772295494423</v>
      </c>
      <c r="L70" s="3">
        <v>0</v>
      </c>
      <c r="M70">
        <v>0</v>
      </c>
      <c r="N70" s="16">
        <f t="shared" si="5"/>
        <v>3.5175996577873701E-2</v>
      </c>
      <c r="O70" s="12"/>
    </row>
    <row r="71" spans="2:15">
      <c r="B71" s="19">
        <f t="shared" si="4"/>
        <v>0.30747346645068691</v>
      </c>
      <c r="C71" s="79">
        <f t="shared" si="6"/>
        <v>0.31262266754940932</v>
      </c>
      <c r="D71" s="21">
        <f t="shared" si="7"/>
        <v>271.0564220216491</v>
      </c>
      <c r="E71" s="21">
        <f t="shared" si="8"/>
        <v>272.17906937597195</v>
      </c>
      <c r="F71" s="21">
        <f t="shared" si="0"/>
        <v>272.09727868221222</v>
      </c>
      <c r="G71" s="6">
        <f t="shared" si="1"/>
        <v>2.4942929949876147</v>
      </c>
      <c r="H71" s="22">
        <f t="shared" si="2"/>
        <v>317.83925781777066</v>
      </c>
      <c r="I71" s="21">
        <f t="shared" si="9"/>
        <v>50.854281250843165</v>
      </c>
      <c r="J71" s="6">
        <f t="shared" si="10"/>
        <v>0.15999999999999956</v>
      </c>
      <c r="K71" s="21">
        <f t="shared" si="3"/>
        <v>41.137616178367963</v>
      </c>
      <c r="L71" s="3">
        <v>0</v>
      </c>
      <c r="M71">
        <v>0</v>
      </c>
      <c r="N71" s="16">
        <f t="shared" si="5"/>
        <v>4.2331359388048252E-2</v>
      </c>
      <c r="O71" s="13"/>
    </row>
    <row r="72" spans="2:15">
      <c r="B72" s="19">
        <f t="shared" si="4"/>
        <v>0.30638144772022624</v>
      </c>
      <c r="C72" s="79">
        <f t="shared" si="6"/>
        <v>0.3096576777448603</v>
      </c>
      <c r="D72" s="21">
        <f t="shared" si="7"/>
        <v>271.34943751774642</v>
      </c>
      <c r="E72" s="21">
        <f t="shared" si="8"/>
        <v>272.09727868221222</v>
      </c>
      <c r="F72" s="21">
        <f t="shared" si="0"/>
        <v>272.01630589539008</v>
      </c>
      <c r="G72" s="6">
        <f t="shared" si="1"/>
        <v>2.5058892413193137</v>
      </c>
      <c r="H72" s="22">
        <f t="shared" si="2"/>
        <v>318.01100558809048</v>
      </c>
      <c r="I72" s="21">
        <f t="shared" si="9"/>
        <v>40.705408715275439</v>
      </c>
      <c r="J72" s="6">
        <f t="shared" si="10"/>
        <v>0.12799999999999956</v>
      </c>
      <c r="K72" s="21">
        <f t="shared" si="3"/>
        <v>43.499872416672503</v>
      </c>
      <c r="L72" s="3">
        <v>0</v>
      </c>
      <c r="M72">
        <v>0</v>
      </c>
      <c r="N72" s="16">
        <f t="shared" si="5"/>
        <v>5.3131493090492206E-2</v>
      </c>
      <c r="O72" s="12"/>
    </row>
    <row r="73" spans="2:15">
      <c r="B73" s="19">
        <f t="shared" si="4"/>
        <v>0.30486222904487703</v>
      </c>
      <c r="C73" s="79">
        <f t="shared" si="6"/>
        <v>0.30669268794031129</v>
      </c>
      <c r="D73" s="21">
        <f t="shared" si="7"/>
        <v>271.56073727322962</v>
      </c>
      <c r="E73" s="21">
        <f t="shared" si="8"/>
        <v>272.01630589539008</v>
      </c>
      <c r="F73" s="21">
        <f t="shared" si="0"/>
        <v>271.93614283643615</v>
      </c>
      <c r="G73" s="6">
        <f t="shared" si="1"/>
        <v>2.5203378882896175</v>
      </c>
      <c r="H73" s="22">
        <f t="shared" si="2"/>
        <v>318.13479904813505</v>
      </c>
      <c r="I73" s="21">
        <f t="shared" si="9"/>
        <v>30.540940708620823</v>
      </c>
      <c r="J73" s="6">
        <f t="shared" si="10"/>
        <v>9.5999999999999558E-2</v>
      </c>
      <c r="K73" s="21">
        <f t="shared" si="3"/>
        <v>45.89200316653352</v>
      </c>
      <c r="L73" s="3">
        <v>0</v>
      </c>
      <c r="M73">
        <v>0</v>
      </c>
      <c r="N73" s="16">
        <f t="shared" si="5"/>
        <v>7.1222731763705055E-2</v>
      </c>
      <c r="O73" s="13"/>
    </row>
    <row r="74" spans="2:15">
      <c r="B74" s="19">
        <f t="shared" si="4"/>
        <v>0.30292037667906863</v>
      </c>
      <c r="C74" s="79">
        <f t="shared" si="6"/>
        <v>0.30372769813576228</v>
      </c>
      <c r="D74" s="21">
        <f t="shared" si="7"/>
        <v>271.68985516106085</v>
      </c>
      <c r="E74" s="21">
        <f t="shared" si="8"/>
        <v>271.93614283643615</v>
      </c>
      <c r="F74" s="21">
        <f t="shared" si="0"/>
        <v>271.85678140807175</v>
      </c>
      <c r="G74" s="6">
        <f t="shared" si="1"/>
        <v>2.5377003753983645</v>
      </c>
      <c r="H74" s="22">
        <f t="shared" si="2"/>
        <v>318.21042119477772</v>
      </c>
      <c r="I74" s="21">
        <f t="shared" si="9"/>
        <v>20.365466956465632</v>
      </c>
      <c r="J74" s="6">
        <f t="shared" si="10"/>
        <v>6.3999999999999557E-2</v>
      </c>
      <c r="K74" s="21">
        <f t="shared" si="3"/>
        <v>48.314485347495932</v>
      </c>
      <c r="L74" s="3">
        <v>0</v>
      </c>
      <c r="M74">
        <v>0</v>
      </c>
      <c r="N74" s="16">
        <f t="shared" si="5"/>
        <v>0.10754450879334679</v>
      </c>
      <c r="O74" s="12"/>
    </row>
    <row r="75" spans="2:15">
      <c r="B75" s="19">
        <f t="shared" si="4"/>
        <v>0.30056260264283169</v>
      </c>
      <c r="C75" s="79">
        <f t="shared" si="6"/>
        <v>0.30076270833121327</v>
      </c>
      <c r="D75" s="21">
        <f t="shared" si="7"/>
        <v>271.73647487145081</v>
      </c>
      <c r="E75" s="21">
        <f t="shared" si="8"/>
        <v>271.85678140807175</v>
      </c>
      <c r="F75" s="21">
        <f t="shared" si="0"/>
        <v>271.77821359399104</v>
      </c>
      <c r="G75" s="6">
        <f t="shared" si="1"/>
        <v>2.5580463204155399</v>
      </c>
      <c r="H75" s="22">
        <f t="shared" si="2"/>
        <v>318.23772114924179</v>
      </c>
      <c r="I75" s="21">
        <f t="shared" si="9"/>
        <v>10.183607076775596</v>
      </c>
      <c r="J75" s="6">
        <f t="shared" si="10"/>
        <v>3.1999999999999557E-2</v>
      </c>
      <c r="K75" s="21">
        <f t="shared" si="3"/>
        <v>50.767811207823513</v>
      </c>
      <c r="L75" s="3">
        <v>0</v>
      </c>
      <c r="M75">
        <v>0</v>
      </c>
      <c r="N75" s="16">
        <f t="shared" si="5"/>
        <v>0.21679488874400263</v>
      </c>
      <c r="O75" s="13"/>
    </row>
    <row r="76" spans="2:15">
      <c r="B76" s="19">
        <f t="shared" si="4"/>
        <v>0.29779771852666392</v>
      </c>
      <c r="C76" s="79">
        <f>C51*$C$11^(D$49/(D$49-1))</f>
        <v>0.29779771852666392</v>
      </c>
      <c r="D76" s="21">
        <f t="shared" si="7"/>
        <v>271.70043145805113</v>
      </c>
      <c r="E76" s="21">
        <f t="shared" si="8"/>
        <v>271.77821359399104</v>
      </c>
      <c r="F76" s="21">
        <f t="shared" si="0"/>
        <v>271.70043145805113</v>
      </c>
      <c r="G76" s="6">
        <f t="shared" si="1"/>
        <v>2.5814538877779984</v>
      </c>
      <c r="H76" s="22">
        <f t="shared" si="2"/>
        <v>318.21661475538349</v>
      </c>
      <c r="I76" s="21">
        <f t="shared" si="9"/>
        <v>0</v>
      </c>
      <c r="J76" s="6">
        <f>C8</f>
        <v>0</v>
      </c>
      <c r="K76" s="21">
        <f t="shared" si="3"/>
        <v>53.252488917925021</v>
      </c>
      <c r="L76" s="3">
        <v>0</v>
      </c>
      <c r="M76">
        <v>0</v>
      </c>
      <c r="N76" s="16">
        <f t="shared" si="5"/>
        <v>22279561578.648041</v>
      </c>
      <c r="O76" s="12"/>
    </row>
    <row r="77" spans="2:15">
      <c r="B77" s="19"/>
      <c r="C77" s="19"/>
      <c r="D77" s="4"/>
      <c r="E77" s="4"/>
      <c r="F77" s="4"/>
      <c r="G77" s="6"/>
      <c r="H77" s="21"/>
      <c r="I77" s="21"/>
      <c r="J77" s="6"/>
      <c r="K77" s="21"/>
      <c r="O77" s="12"/>
    </row>
    <row r="78" spans="2:15">
      <c r="B78" s="20" t="s">
        <v>110</v>
      </c>
      <c r="C78" s="18" t="s">
        <v>118</v>
      </c>
      <c r="D78" s="14">
        <f>$D$4</f>
        <v>1.3</v>
      </c>
      <c r="E78" s="4" t="s">
        <v>119</v>
      </c>
      <c r="F78" s="4">
        <f>C$4*D78/(D78-1)</f>
        <v>1242.3218390804595</v>
      </c>
      <c r="H78" s="6"/>
      <c r="I78" s="6"/>
      <c r="J78" s="1"/>
      <c r="K78" s="1"/>
      <c r="O78" s="12"/>
    </row>
    <row r="79" spans="2:15">
      <c r="B79" s="17" t="s">
        <v>5</v>
      </c>
      <c r="C79" s="17" t="s">
        <v>121</v>
      </c>
      <c r="D79" t="s">
        <v>41</v>
      </c>
      <c r="E79" t="s">
        <v>123</v>
      </c>
      <c r="F79" t="s">
        <v>143</v>
      </c>
      <c r="G79" s="1" t="s">
        <v>15</v>
      </c>
      <c r="H79" s="22" t="s">
        <v>46</v>
      </c>
      <c r="I79" s="21" t="s">
        <v>47</v>
      </c>
      <c r="J79" s="6" t="s">
        <v>115</v>
      </c>
      <c r="K79" s="22" t="s">
        <v>98</v>
      </c>
      <c r="L79" s="4" t="s">
        <v>45</v>
      </c>
      <c r="M79" s="10" t="s">
        <v>44</v>
      </c>
      <c r="N79" s="10" t="s">
        <v>48</v>
      </c>
      <c r="O79" s="12" t="s">
        <v>90</v>
      </c>
    </row>
    <row r="80" spans="2:15">
      <c r="B80" s="17">
        <f>B76</f>
        <v>0.29779771852666392</v>
      </c>
      <c r="C80" s="19">
        <f>B80*(1+((D$78-1)/2)*J80^2)^(D$49/(D$49-1))</f>
        <v>0.29779771852666392</v>
      </c>
      <c r="D80" s="21">
        <f>D76</f>
        <v>271.70043145805113</v>
      </c>
      <c r="E80" s="21">
        <f>D80*(1+((D$78-1)/2)*J80^2)</f>
        <v>271.70043145805113</v>
      </c>
      <c r="F80" s="21">
        <f t="shared" ref="F80:F105" si="11">E80*(1-$K$7)+$K$7*$D$12</f>
        <v>273.17342714347063</v>
      </c>
      <c r="G80" s="6">
        <f t="shared" ref="G80:G105" si="12">($C$4*D80)/(101325*B80)</f>
        <v>2.5814538877779984</v>
      </c>
      <c r="H80" s="22">
        <f t="shared" ref="H80:H105" si="13">SQRT($D$78*$C$4*D80)</f>
        <v>318.21661475538349</v>
      </c>
      <c r="I80" s="21">
        <f t="shared" ref="I80:I105" si="14">H80*J80</f>
        <v>0</v>
      </c>
      <c r="J80" s="1">
        <f>J76</f>
        <v>0</v>
      </c>
      <c r="K80" s="21">
        <f t="shared" ref="K80:K105" si="15">$F$78*LN(D80/$G$4)-$C$4*LN(B80/$H$4)</f>
        <v>53.252488917925021</v>
      </c>
      <c r="L80" s="3"/>
      <c r="N80" s="16">
        <f t="shared" ref="N80:N105" si="16">$B$17*G80/(I80+0.0000000001)</f>
        <v>22279561578.648041</v>
      </c>
      <c r="O80" s="12" t="s">
        <v>76</v>
      </c>
    </row>
    <row r="81" spans="2:15">
      <c r="B81" s="17">
        <f t="shared" ref="B81:B105" si="17">C81/((1+((D$78-1)/2)*J81^2)^(D$78/(D$78-1)))</f>
        <v>0.41655944867509753</v>
      </c>
      <c r="C81" s="17">
        <f>C80+(C$105-C$80)/25</f>
        <v>0.41655944867509753</v>
      </c>
      <c r="D81" s="21">
        <f>F81/(1+((D$78-1)/2)*J81^2)</f>
        <v>298.30348977075579</v>
      </c>
      <c r="E81" s="21">
        <f t="shared" ref="E81:E105" si="18">F80*(1+((C81/C80)^(($D$78-1)/$D$78)-1)/$D$11)</f>
        <v>297.08433310177355</v>
      </c>
      <c r="F81" s="21">
        <f t="shared" si="11"/>
        <v>298.30348977075579</v>
      </c>
      <c r="G81" s="6">
        <f t="shared" si="12"/>
        <v>2.0261740742360601</v>
      </c>
      <c r="H81" s="22">
        <f t="shared" si="13"/>
        <v>333.43167516724822</v>
      </c>
      <c r="I81" s="21">
        <f t="shared" si="14"/>
        <v>0</v>
      </c>
      <c r="J81" s="1">
        <f>J80</f>
        <v>0</v>
      </c>
      <c r="K81" s="21">
        <f t="shared" si="15"/>
        <v>73.082099268160761</v>
      </c>
      <c r="L81" s="3">
        <v>0</v>
      </c>
      <c r="M81" s="7">
        <f t="shared" ref="M81:M105" si="19">-F$78*(E81-F80)-L80</f>
        <v>-29705.040664198801</v>
      </c>
      <c r="N81" s="16">
        <f t="shared" si="16"/>
        <v>17487149497.316399</v>
      </c>
      <c r="O81" s="12" t="s">
        <v>93</v>
      </c>
    </row>
    <row r="82" spans="2:15">
      <c r="B82" s="17">
        <f t="shared" si="17"/>
        <v>0.53532117882353114</v>
      </c>
      <c r="C82" s="17">
        <f t="shared" ref="C82:C104" si="20">C81+(C$105-C$80)/25</f>
        <v>0.53532117882353114</v>
      </c>
      <c r="D82" s="21">
        <f t="shared" ref="D82:D105" si="21">F82/(1+((D$78-1)/2)*J82^2)</f>
        <v>318.64009398879773</v>
      </c>
      <c r="E82" s="21">
        <f t="shared" si="18"/>
        <v>317.62635756444217</v>
      </c>
      <c r="F82" s="21">
        <f t="shared" si="11"/>
        <v>318.64009398879773</v>
      </c>
      <c r="G82" s="6">
        <f t="shared" si="12"/>
        <v>1.6841524666905758</v>
      </c>
      <c r="H82" s="22">
        <f t="shared" si="13"/>
        <v>344.61001765862829</v>
      </c>
      <c r="I82" s="21">
        <f t="shared" si="14"/>
        <v>0</v>
      </c>
      <c r="J82" s="1">
        <f t="shared" ref="J82:J105" si="22">J81</f>
        <v>0</v>
      </c>
      <c r="K82" s="21">
        <f t="shared" si="15"/>
        <v>83.101694274379071</v>
      </c>
      <c r="L82" s="3">
        <v>0</v>
      </c>
      <c r="M82" s="7">
        <f t="shared" si="19"/>
        <v>-24005.220653761051</v>
      </c>
      <c r="N82" s="16">
        <f t="shared" si="16"/>
        <v>14535289112.509428</v>
      </c>
      <c r="O82" s="12" t="s">
        <v>23</v>
      </c>
    </row>
    <row r="83" spans="2:15">
      <c r="B83" s="17">
        <f t="shared" si="17"/>
        <v>0.65408290897196475</v>
      </c>
      <c r="C83" s="17">
        <f t="shared" si="20"/>
        <v>0.65408290897196475</v>
      </c>
      <c r="D83" s="21">
        <f t="shared" si="21"/>
        <v>335.8704459024305</v>
      </c>
      <c r="E83" s="21">
        <f t="shared" si="18"/>
        <v>335.03075343679848</v>
      </c>
      <c r="F83" s="21">
        <f t="shared" si="11"/>
        <v>335.8704459024305</v>
      </c>
      <c r="G83" s="6">
        <f t="shared" si="12"/>
        <v>1.4528955695387038</v>
      </c>
      <c r="H83" s="22">
        <f t="shared" si="13"/>
        <v>353.8046876652208</v>
      </c>
      <c r="I83" s="21">
        <f t="shared" si="14"/>
        <v>0</v>
      </c>
      <c r="J83" s="1">
        <f t="shared" si="22"/>
        <v>0</v>
      </c>
      <c r="K83" s="21">
        <f t="shared" si="15"/>
        <v>91.083222158487672</v>
      </c>
      <c r="L83" s="3">
        <v>0</v>
      </c>
      <c r="M83" s="7">
        <f t="shared" si="19"/>
        <v>-20362.474189181798</v>
      </c>
      <c r="N83" s="16">
        <f t="shared" si="16"/>
        <v>12539397454.333389</v>
      </c>
      <c r="O83" s="12" t="s">
        <v>38</v>
      </c>
    </row>
    <row r="84" spans="2:15">
      <c r="B84" s="17">
        <f t="shared" si="17"/>
        <v>0.77284463912039836</v>
      </c>
      <c r="C84" s="17">
        <f t="shared" si="20"/>
        <v>0.77284463912039836</v>
      </c>
      <c r="D84" s="21">
        <f t="shared" si="21"/>
        <v>350.88888596141697</v>
      </c>
      <c r="E84" s="21">
        <f t="shared" si="18"/>
        <v>350.20089491052221</v>
      </c>
      <c r="F84" s="21">
        <f t="shared" si="11"/>
        <v>350.88888596141697</v>
      </c>
      <c r="G84" s="6">
        <f t="shared" si="12"/>
        <v>1.2846145116165792</v>
      </c>
      <c r="H84" s="22">
        <f t="shared" si="13"/>
        <v>361.62836978885434</v>
      </c>
      <c r="I84" s="21">
        <f t="shared" si="14"/>
        <v>0</v>
      </c>
      <c r="J84" s="1">
        <f t="shared" si="22"/>
        <v>0</v>
      </c>
      <c r="K84" s="21">
        <f t="shared" si="15"/>
        <v>97.595046074568586</v>
      </c>
      <c r="L84" s="3">
        <v>0</v>
      </c>
      <c r="M84" s="7">
        <f t="shared" si="19"/>
        <v>-17803.029766581232</v>
      </c>
      <c r="N84" s="16">
        <f t="shared" si="16"/>
        <v>11087026675.894585</v>
      </c>
      <c r="O84" s="12" t="s">
        <v>77</v>
      </c>
    </row>
    <row r="85" spans="2:15">
      <c r="B85" s="17">
        <f t="shared" si="17"/>
        <v>0.89160636926883197</v>
      </c>
      <c r="C85" s="17">
        <f t="shared" si="20"/>
        <v>0.89160636926883197</v>
      </c>
      <c r="D85" s="21">
        <f t="shared" si="21"/>
        <v>364.23344298379317</v>
      </c>
      <c r="E85" s="21">
        <f t="shared" si="18"/>
        <v>363.68024543817495</v>
      </c>
      <c r="F85" s="21">
        <f t="shared" si="11"/>
        <v>364.23344298379317</v>
      </c>
      <c r="G85" s="6">
        <f t="shared" si="12"/>
        <v>1.1558515685979884</v>
      </c>
      <c r="H85" s="22">
        <f t="shared" si="13"/>
        <v>368.44069837990224</v>
      </c>
      <c r="I85" s="21">
        <f t="shared" si="14"/>
        <v>0</v>
      </c>
      <c r="J85" s="1">
        <f t="shared" si="22"/>
        <v>0</v>
      </c>
      <c r="K85" s="21">
        <f t="shared" si="15"/>
        <v>102.983840138392</v>
      </c>
      <c r="L85" s="3">
        <v>0</v>
      </c>
      <c r="M85" s="7">
        <f t="shared" si="19"/>
        <v>-15890.985229505233</v>
      </c>
      <c r="N85" s="16">
        <f t="shared" si="16"/>
        <v>9975721945.0167599</v>
      </c>
      <c r="O85" s="12" t="s">
        <v>96</v>
      </c>
    </row>
    <row r="86" spans="2:15">
      <c r="B86" s="17">
        <f t="shared" si="17"/>
        <v>1.0103680994172655</v>
      </c>
      <c r="C86" s="17">
        <f t="shared" si="20"/>
        <v>1.0103680994172655</v>
      </c>
      <c r="D86" s="21">
        <f t="shared" si="21"/>
        <v>376.2561297795005</v>
      </c>
      <c r="E86" s="21">
        <f t="shared" si="18"/>
        <v>375.82437351464699</v>
      </c>
      <c r="F86" s="21">
        <f t="shared" si="11"/>
        <v>376.2561297795005</v>
      </c>
      <c r="G86" s="6">
        <f t="shared" si="12"/>
        <v>1.0536572702600733</v>
      </c>
      <c r="H86" s="22">
        <f t="shared" si="13"/>
        <v>374.47211128986567</v>
      </c>
      <c r="I86" s="21">
        <f t="shared" si="14"/>
        <v>0</v>
      </c>
      <c r="J86" s="1">
        <f t="shared" si="22"/>
        <v>0</v>
      </c>
      <c r="K86" s="21">
        <f t="shared" si="15"/>
        <v>107.47920887294572</v>
      </c>
      <c r="L86" s="3">
        <v>0</v>
      </c>
      <c r="M86" s="7">
        <f t="shared" si="19"/>
        <v>-14399.666133744171</v>
      </c>
      <c r="N86" s="16">
        <f t="shared" si="16"/>
        <v>9093721234.6472569</v>
      </c>
      <c r="O86" s="12" t="s">
        <v>97</v>
      </c>
    </row>
    <row r="87" spans="2:15">
      <c r="B87" s="17">
        <f t="shared" si="17"/>
        <v>1.1291298295656991</v>
      </c>
      <c r="C87" s="17">
        <f t="shared" si="20"/>
        <v>1.1291298295656991</v>
      </c>
      <c r="D87" s="21">
        <f t="shared" si="21"/>
        <v>387.20151612711504</v>
      </c>
      <c r="E87" s="21">
        <f t="shared" si="18"/>
        <v>386.88031932031822</v>
      </c>
      <c r="F87" s="21">
        <f t="shared" si="11"/>
        <v>387.20151612711504</v>
      </c>
      <c r="G87" s="6">
        <f t="shared" si="12"/>
        <v>0.97026100690086248</v>
      </c>
      <c r="H87" s="22">
        <f t="shared" si="13"/>
        <v>379.87980978585051</v>
      </c>
      <c r="I87" s="21">
        <f t="shared" si="14"/>
        <v>0</v>
      </c>
      <c r="J87" s="1">
        <f t="shared" si="22"/>
        <v>0</v>
      </c>
      <c r="K87" s="21">
        <f t="shared" si="15"/>
        <v>111.24243678645587</v>
      </c>
      <c r="L87" s="3">
        <v>0</v>
      </c>
      <c r="M87" s="7">
        <f t="shared" si="19"/>
        <v>-13198.662689088058</v>
      </c>
      <c r="N87" s="16">
        <f t="shared" si="16"/>
        <v>8373959323.0602961</v>
      </c>
      <c r="O87" s="12" t="s">
        <v>92</v>
      </c>
    </row>
    <row r="88" spans="2:15">
      <c r="B88" s="17">
        <f t="shared" si="17"/>
        <v>1.2478915597141327</v>
      </c>
      <c r="C88" s="17">
        <f t="shared" si="20"/>
        <v>1.2478915597141327</v>
      </c>
      <c r="D88" s="21">
        <f t="shared" si="21"/>
        <v>397.24739059925759</v>
      </c>
      <c r="E88" s="21">
        <f t="shared" si="18"/>
        <v>397.02766727197735</v>
      </c>
      <c r="F88" s="21">
        <f t="shared" si="11"/>
        <v>397.24739059925759</v>
      </c>
      <c r="G88" s="6">
        <f t="shared" si="12"/>
        <v>0.90069886542370692</v>
      </c>
      <c r="H88" s="22">
        <f t="shared" si="13"/>
        <v>384.7762111380523</v>
      </c>
      <c r="I88" s="21">
        <f t="shared" si="14"/>
        <v>0</v>
      </c>
      <c r="J88" s="1">
        <f t="shared" si="22"/>
        <v>0</v>
      </c>
      <c r="K88" s="21">
        <f t="shared" si="15"/>
        <v>114.39193774760452</v>
      </c>
      <c r="L88" s="3">
        <v>0</v>
      </c>
      <c r="M88" s="7">
        <f t="shared" si="19"/>
        <v>-12207.242161367905</v>
      </c>
      <c r="N88" s="16">
        <f t="shared" si="16"/>
        <v>7773594535.6354361</v>
      </c>
      <c r="O88" s="13" t="s">
        <v>84</v>
      </c>
    </row>
    <row r="89" spans="2:15">
      <c r="B89" s="17">
        <f t="shared" si="17"/>
        <v>1.3666532898625663</v>
      </c>
      <c r="C89" s="17">
        <f t="shared" si="20"/>
        <v>1.3666532898625663</v>
      </c>
      <c r="D89" s="21">
        <f t="shared" si="21"/>
        <v>406.52765042345419</v>
      </c>
      <c r="E89" s="21">
        <f t="shared" si="18"/>
        <v>406.40166709439819</v>
      </c>
      <c r="F89" s="21">
        <f t="shared" si="11"/>
        <v>406.52765042345419</v>
      </c>
      <c r="G89" s="6">
        <f t="shared" si="12"/>
        <v>0.84164151347904248</v>
      </c>
      <c r="H89" s="22">
        <f t="shared" si="13"/>
        <v>389.24472185674801</v>
      </c>
      <c r="I89" s="21">
        <f t="shared" si="14"/>
        <v>0</v>
      </c>
      <c r="J89" s="1">
        <f t="shared" si="22"/>
        <v>0</v>
      </c>
      <c r="K89" s="21">
        <f t="shared" si="15"/>
        <v>117.01769696409195</v>
      </c>
      <c r="L89" s="3">
        <v>0</v>
      </c>
      <c r="M89" s="7">
        <f t="shared" si="19"/>
        <v>-11372.557610894102</v>
      </c>
      <c r="N89" s="16">
        <f t="shared" si="16"/>
        <v>7263892651.9207525</v>
      </c>
      <c r="O89" s="77" t="s">
        <v>94</v>
      </c>
    </row>
    <row r="90" spans="2:15">
      <c r="B90" s="17">
        <f t="shared" si="17"/>
        <v>1.4854150200109999</v>
      </c>
      <c r="C90" s="17">
        <f t="shared" si="20"/>
        <v>1.4854150200109999</v>
      </c>
      <c r="D90" s="21">
        <f t="shared" si="21"/>
        <v>415.14604714063859</v>
      </c>
      <c r="E90" s="21">
        <f t="shared" si="18"/>
        <v>415.10711832387739</v>
      </c>
      <c r="F90" s="21">
        <f t="shared" si="11"/>
        <v>415.14604714063859</v>
      </c>
      <c r="G90" s="6">
        <f t="shared" si="12"/>
        <v>0.79076694303150685</v>
      </c>
      <c r="H90" s="22">
        <f t="shared" si="13"/>
        <v>393.34908189955445</v>
      </c>
      <c r="I90" s="21">
        <f t="shared" si="14"/>
        <v>0</v>
      </c>
      <c r="J90" s="1">
        <f t="shared" si="22"/>
        <v>0</v>
      </c>
      <c r="K90" s="21">
        <f t="shared" si="15"/>
        <v>119.19000947062119</v>
      </c>
      <c r="L90" s="3">
        <v>0</v>
      </c>
      <c r="M90" s="7">
        <f t="shared" si="19"/>
        <v>-10658.460340385514</v>
      </c>
      <c r="N90" s="16">
        <f t="shared" si="16"/>
        <v>6824813290.310008</v>
      </c>
      <c r="O90" s="77" t="s">
        <v>95</v>
      </c>
    </row>
    <row r="91" spans="2:15">
      <c r="B91" s="17">
        <f t="shared" si="17"/>
        <v>1.6041767501594335</v>
      </c>
      <c r="C91" s="17">
        <f t="shared" si="20"/>
        <v>1.6041767501594335</v>
      </c>
      <c r="D91" s="21">
        <f t="shared" si="21"/>
        <v>423.18487580802065</v>
      </c>
      <c r="E91" s="21">
        <f t="shared" si="18"/>
        <v>423.22714728082894</v>
      </c>
      <c r="F91" s="21">
        <f t="shared" si="11"/>
        <v>423.18487580802065</v>
      </c>
      <c r="G91" s="6">
        <f t="shared" si="12"/>
        <v>0.74640292085600934</v>
      </c>
      <c r="H91" s="22">
        <f t="shared" si="13"/>
        <v>397.13919972152945</v>
      </c>
      <c r="I91" s="21">
        <f t="shared" si="14"/>
        <v>0</v>
      </c>
      <c r="J91" s="1">
        <f t="shared" si="22"/>
        <v>0</v>
      </c>
      <c r="K91" s="21">
        <f t="shared" si="15"/>
        <v>120.96504403460983</v>
      </c>
      <c r="L91" s="3">
        <v>0</v>
      </c>
      <c r="M91" s="7">
        <f t="shared" si="19"/>
        <v>-10039.327187954645</v>
      </c>
      <c r="N91" s="16">
        <f t="shared" si="16"/>
        <v>6441924032.2003908</v>
      </c>
      <c r="O91" s="12" t="s">
        <v>150</v>
      </c>
    </row>
    <row r="92" spans="2:15">
      <c r="B92" s="17">
        <f t="shared" si="17"/>
        <v>1.7229384803078671</v>
      </c>
      <c r="C92" s="17">
        <f t="shared" si="20"/>
        <v>1.7229384803078671</v>
      </c>
      <c r="D92" s="21">
        <f t="shared" si="21"/>
        <v>430.71070241398206</v>
      </c>
      <c r="E92" s="21">
        <f t="shared" si="18"/>
        <v>430.8289923373556</v>
      </c>
      <c r="F92" s="21">
        <f t="shared" si="11"/>
        <v>430.71070241398206</v>
      </c>
      <c r="G92" s="6">
        <f t="shared" si="12"/>
        <v>0.70731244999191756</v>
      </c>
      <c r="H92" s="22">
        <f t="shared" si="13"/>
        <v>400.65495576664523</v>
      </c>
      <c r="I92" s="21">
        <f t="shared" si="14"/>
        <v>0</v>
      </c>
      <c r="J92" s="1">
        <f t="shared" si="22"/>
        <v>0</v>
      </c>
      <c r="K92" s="21">
        <f t="shared" si="15"/>
        <v>122.38853595620776</v>
      </c>
      <c r="L92" s="3">
        <v>0</v>
      </c>
      <c r="M92" s="7">
        <f t="shared" si="19"/>
        <v>-9496.4529048687364</v>
      </c>
      <c r="N92" s="16">
        <f t="shared" si="16"/>
        <v>6104548820.1626005</v>
      </c>
      <c r="O92" s="12" t="s">
        <v>32</v>
      </c>
    </row>
    <row r="93" spans="2:15">
      <c r="B93" s="17">
        <f t="shared" si="17"/>
        <v>1.8417002104563007</v>
      </c>
      <c r="C93" s="17">
        <f t="shared" si="20"/>
        <v>1.8417002104563007</v>
      </c>
      <c r="D93" s="21">
        <f t="shared" si="21"/>
        <v>437.7782726511179</v>
      </c>
      <c r="E93" s="21">
        <f t="shared" si="18"/>
        <v>437.96795217284637</v>
      </c>
      <c r="F93" s="21">
        <f t="shared" si="11"/>
        <v>437.7782726511179</v>
      </c>
      <c r="G93" s="6">
        <f t="shared" si="12"/>
        <v>0.67255944410846547</v>
      </c>
      <c r="H93" s="22">
        <f t="shared" si="13"/>
        <v>403.92877173682626</v>
      </c>
      <c r="I93" s="21">
        <f t="shared" si="14"/>
        <v>0</v>
      </c>
      <c r="J93" s="1">
        <f t="shared" si="22"/>
        <v>0</v>
      </c>
      <c r="K93" s="21">
        <f t="shared" si="15"/>
        <v>123.49832405690472</v>
      </c>
      <c r="L93" s="3">
        <v>0</v>
      </c>
      <c r="M93" s="7">
        <f t="shared" si="19"/>
        <v>-9015.8398670985243</v>
      </c>
      <c r="N93" s="16">
        <f t="shared" si="16"/>
        <v>5804608643.7025995</v>
      </c>
      <c r="O93" s="12" t="s">
        <v>85</v>
      </c>
    </row>
    <row r="94" spans="2:15">
      <c r="B94" s="17">
        <f t="shared" si="17"/>
        <v>1.9604619406047343</v>
      </c>
      <c r="C94" s="17">
        <f t="shared" si="20"/>
        <v>1.9604619406047343</v>
      </c>
      <c r="D94" s="21">
        <f t="shared" si="21"/>
        <v>444.43325910204197</v>
      </c>
      <c r="E94" s="21">
        <f t="shared" si="18"/>
        <v>444.69016070913329</v>
      </c>
      <c r="F94" s="21">
        <f t="shared" si="11"/>
        <v>444.43325910204197</v>
      </c>
      <c r="G94" s="6">
        <f t="shared" si="12"/>
        <v>0.64142154885309288</v>
      </c>
      <c r="H94" s="22">
        <f t="shared" si="13"/>
        <v>406.98739923841788</v>
      </c>
      <c r="I94" s="21">
        <f t="shared" si="14"/>
        <v>0</v>
      </c>
      <c r="J94" s="1">
        <f t="shared" si="22"/>
        <v>0</v>
      </c>
      <c r="K94" s="21">
        <f t="shared" si="15"/>
        <v>124.32614516564615</v>
      </c>
      <c r="L94" s="3">
        <v>0</v>
      </c>
      <c r="M94" s="7">
        <f t="shared" si="19"/>
        <v>-8586.7894837519489</v>
      </c>
      <c r="N94" s="16">
        <f t="shared" si="16"/>
        <v>5535869132.9733553</v>
      </c>
      <c r="O94" s="12" t="s">
        <v>86</v>
      </c>
    </row>
    <row r="95" spans="2:15">
      <c r="B95" s="17">
        <f t="shared" si="17"/>
        <v>2.0792236707531679</v>
      </c>
      <c r="C95" s="17">
        <f t="shared" si="20"/>
        <v>2.0792236707531679</v>
      </c>
      <c r="D95" s="21">
        <f t="shared" si="21"/>
        <v>450.71424127961473</v>
      </c>
      <c r="E95" s="21">
        <f t="shared" si="18"/>
        <v>451.034587151126</v>
      </c>
      <c r="F95" s="21">
        <f t="shared" si="11"/>
        <v>450.71424127961473</v>
      </c>
      <c r="G95" s="6">
        <f t="shared" si="12"/>
        <v>0.6133317962488043</v>
      </c>
      <c r="H95" s="22">
        <f t="shared" si="13"/>
        <v>409.85319754501552</v>
      </c>
      <c r="I95" s="21">
        <f t="shared" si="14"/>
        <v>0</v>
      </c>
      <c r="J95" s="1">
        <f t="shared" si="22"/>
        <v>0</v>
      </c>
      <c r="K95" s="21">
        <f t="shared" si="15"/>
        <v>124.8989354847439</v>
      </c>
      <c r="L95" s="3">
        <v>0</v>
      </c>
      <c r="M95" s="7">
        <f t="shared" si="19"/>
        <v>-8200.9740023114955</v>
      </c>
      <c r="N95" s="16">
        <f t="shared" si="16"/>
        <v>5293436999.7327642</v>
      </c>
      <c r="O95" s="12" t="s">
        <v>127</v>
      </c>
    </row>
    <row r="96" spans="2:15">
      <c r="B96" s="17">
        <f t="shared" si="17"/>
        <v>2.1979854009016013</v>
      </c>
      <c r="C96" s="17">
        <f t="shared" si="20"/>
        <v>2.1979854009016013</v>
      </c>
      <c r="D96" s="21">
        <f t="shared" si="21"/>
        <v>456.65416424415463</v>
      </c>
      <c r="E96" s="21">
        <f t="shared" si="18"/>
        <v>457.03450933752993</v>
      </c>
      <c r="F96" s="21">
        <f t="shared" si="11"/>
        <v>456.65416424415463</v>
      </c>
      <c r="G96" s="6">
        <f t="shared" si="12"/>
        <v>0.58783850308459318</v>
      </c>
      <c r="H96" s="22">
        <f t="shared" si="13"/>
        <v>412.5450670463344</v>
      </c>
      <c r="I96" s="21">
        <f t="shared" si="14"/>
        <v>0</v>
      </c>
      <c r="J96" s="1">
        <f t="shared" si="22"/>
        <v>0</v>
      </c>
      <c r="K96" s="21">
        <f t="shared" si="15"/>
        <v>125.23979496018012</v>
      </c>
      <c r="L96" s="3">
        <v>0</v>
      </c>
      <c r="M96" s="7">
        <f t="shared" si="19"/>
        <v>-7851.8070371906961</v>
      </c>
      <c r="N96" s="16">
        <f t="shared" si="16"/>
        <v>5073413935.3721371</v>
      </c>
      <c r="O96" s="12"/>
    </row>
    <row r="97" spans="2:24">
      <c r="B97" s="17">
        <f t="shared" si="17"/>
        <v>2.3167471310500347</v>
      </c>
      <c r="C97" s="17">
        <f t="shared" si="20"/>
        <v>2.3167471310500347</v>
      </c>
      <c r="D97" s="21">
        <f t="shared" si="21"/>
        <v>462.28143384192845</v>
      </c>
      <c r="E97" s="21">
        <f t="shared" si="18"/>
        <v>462.71862004235197</v>
      </c>
      <c r="F97" s="21">
        <f t="shared" si="11"/>
        <v>462.28143384192845</v>
      </c>
      <c r="G97" s="6">
        <f t="shared" si="12"/>
        <v>0.56457705971573213</v>
      </c>
      <c r="H97" s="22">
        <f t="shared" si="13"/>
        <v>415.07914464470139</v>
      </c>
      <c r="I97" s="21">
        <f t="shared" si="14"/>
        <v>0</v>
      </c>
      <c r="J97" s="1">
        <f t="shared" si="22"/>
        <v>0</v>
      </c>
      <c r="K97" s="21">
        <f t="shared" si="15"/>
        <v>125.36871555650157</v>
      </c>
      <c r="L97" s="3">
        <v>0</v>
      </c>
      <c r="M97" s="7">
        <f t="shared" si="19"/>
        <v>-7534.0058802386802</v>
      </c>
      <c r="N97" s="16">
        <f t="shared" si="16"/>
        <v>4872653130.6184778</v>
      </c>
      <c r="O97" s="12"/>
    </row>
    <row r="98" spans="2:24">
      <c r="B98" s="17">
        <f t="shared" si="17"/>
        <v>2.4355088611984681</v>
      </c>
      <c r="C98" s="17">
        <f t="shared" si="20"/>
        <v>2.4355088611984681</v>
      </c>
      <c r="D98" s="21">
        <f t="shared" si="21"/>
        <v>467.62075308702515</v>
      </c>
      <c r="E98" s="21">
        <f t="shared" si="18"/>
        <v>468.11187180507591</v>
      </c>
      <c r="F98" s="21">
        <f t="shared" si="11"/>
        <v>467.62075308702515</v>
      </c>
      <c r="G98" s="6">
        <f t="shared" si="12"/>
        <v>0.54324967204991792</v>
      </c>
      <c r="H98" s="22">
        <f t="shared" si="13"/>
        <v>417.46933083782193</v>
      </c>
      <c r="I98" s="21">
        <f t="shared" si="14"/>
        <v>0</v>
      </c>
      <c r="J98" s="1">
        <f t="shared" si="22"/>
        <v>0</v>
      </c>
      <c r="K98" s="21">
        <f t="shared" si="15"/>
        <v>125.30314047998627</v>
      </c>
      <c r="L98" s="3">
        <v>0</v>
      </c>
      <c r="M98" s="7">
        <f t="shared" si="19"/>
        <v>-7243.2804130218819</v>
      </c>
      <c r="N98" s="16">
        <f t="shared" si="16"/>
        <v>4688584436.2048788</v>
      </c>
      <c r="O98" s="12"/>
    </row>
    <row r="99" spans="2:24">
      <c r="B99" s="17">
        <f t="shared" si="17"/>
        <v>2.5542705913469015</v>
      </c>
      <c r="C99" s="17">
        <f t="shared" si="20"/>
        <v>2.5542705913469015</v>
      </c>
      <c r="D99" s="21">
        <f t="shared" si="21"/>
        <v>472.69377052722979</v>
      </c>
      <c r="E99" s="21">
        <f t="shared" si="18"/>
        <v>473.23613184568666</v>
      </c>
      <c r="F99" s="21">
        <f t="shared" si="11"/>
        <v>472.69377052722979</v>
      </c>
      <c r="G99" s="6">
        <f t="shared" si="12"/>
        <v>0.52361054668690565</v>
      </c>
      <c r="H99" s="22">
        <f t="shared" si="13"/>
        <v>419.72769541332332</v>
      </c>
      <c r="I99" s="21">
        <f t="shared" si="14"/>
        <v>0</v>
      </c>
      <c r="J99" s="1">
        <f t="shared" si="22"/>
        <v>0</v>
      </c>
      <c r="K99" s="21">
        <f t="shared" si="15"/>
        <v>125.05839999812179</v>
      </c>
      <c r="L99" s="3">
        <v>0</v>
      </c>
      <c r="M99" s="7">
        <f t="shared" si="19"/>
        <v>-6976.1076665937107</v>
      </c>
      <c r="N99" s="16">
        <f t="shared" si="16"/>
        <v>4519086501.3598576</v>
      </c>
      <c r="O99" s="12"/>
    </row>
    <row r="100" spans="2:24">
      <c r="B100" s="17">
        <f t="shared" si="17"/>
        <v>2.6730323214953349</v>
      </c>
      <c r="C100" s="17">
        <f t="shared" si="20"/>
        <v>2.6730323214953349</v>
      </c>
      <c r="D100" s="21">
        <f t="shared" si="21"/>
        <v>477.51958966213323</v>
      </c>
      <c r="E100" s="21">
        <f t="shared" si="18"/>
        <v>478.11069662841743</v>
      </c>
      <c r="F100" s="21">
        <f t="shared" si="11"/>
        <v>477.51958966213323</v>
      </c>
      <c r="G100" s="6">
        <f t="shared" si="12"/>
        <v>0.50545487829085145</v>
      </c>
      <c r="H100" s="22">
        <f t="shared" si="13"/>
        <v>421.86479403690743</v>
      </c>
      <c r="I100" s="21">
        <f t="shared" si="14"/>
        <v>0</v>
      </c>
      <c r="J100" s="1">
        <f t="shared" si="22"/>
        <v>0</v>
      </c>
      <c r="K100" s="21">
        <f t="shared" si="15"/>
        <v>124.64805561587571</v>
      </c>
      <c r="L100" s="3">
        <v>0</v>
      </c>
      <c r="M100" s="7">
        <f t="shared" si="19"/>
        <v>-6729.565596190374</v>
      </c>
      <c r="N100" s="16">
        <f t="shared" si="16"/>
        <v>4362391727.9430141</v>
      </c>
      <c r="O100" s="12"/>
    </row>
    <row r="101" spans="2:24">
      <c r="B101" s="17">
        <f t="shared" si="17"/>
        <v>2.7917940516437683</v>
      </c>
      <c r="C101" s="17">
        <f t="shared" si="20"/>
        <v>2.7917940516437683</v>
      </c>
      <c r="D101" s="21">
        <f t="shared" si="21"/>
        <v>482.11517406770076</v>
      </c>
      <c r="E101" s="21">
        <f t="shared" si="18"/>
        <v>482.75270107848564</v>
      </c>
      <c r="F101" s="21">
        <f t="shared" si="11"/>
        <v>482.11517406770076</v>
      </c>
      <c r="G101" s="6">
        <f t="shared" si="12"/>
        <v>0.48861054209895277</v>
      </c>
      <c r="H101" s="22">
        <f t="shared" si="13"/>
        <v>423.88991838555751</v>
      </c>
      <c r="I101" s="21">
        <f t="shared" si="14"/>
        <v>0</v>
      </c>
      <c r="J101" s="1">
        <f t="shared" si="22"/>
        <v>0</v>
      </c>
      <c r="K101" s="21">
        <f t="shared" si="15"/>
        <v>124.08417513805705</v>
      </c>
      <c r="L101" s="3">
        <v>0</v>
      </c>
      <c r="M101" s="7">
        <f t="shared" si="19"/>
        <v>-6501.2085988758809</v>
      </c>
      <c r="N101" s="16">
        <f t="shared" si="16"/>
        <v>4217014571.5988097</v>
      </c>
      <c r="O101" s="12"/>
    </row>
    <row r="102" spans="2:24">
      <c r="B102" s="17">
        <f t="shared" si="17"/>
        <v>2.9105557817922016</v>
      </c>
      <c r="C102" s="17">
        <f t="shared" si="20"/>
        <v>2.9105557817922016</v>
      </c>
      <c r="D102" s="21">
        <f t="shared" si="21"/>
        <v>486.49567313293977</v>
      </c>
      <c r="E102" s="21">
        <f t="shared" si="18"/>
        <v>487.17744760903008</v>
      </c>
      <c r="F102" s="21">
        <f t="shared" si="11"/>
        <v>486.49567313293977</v>
      </c>
      <c r="G102" s="6">
        <f t="shared" si="12"/>
        <v>0.47293174311878694</v>
      </c>
      <c r="H102" s="22">
        <f t="shared" si="13"/>
        <v>425.81129600488526</v>
      </c>
      <c r="I102" s="21">
        <f t="shared" si="14"/>
        <v>0</v>
      </c>
      <c r="J102" s="1">
        <f t="shared" si="22"/>
        <v>0</v>
      </c>
      <c r="K102" s="21">
        <f t="shared" si="15"/>
        <v>123.37755487904985</v>
      </c>
      <c r="L102" s="3">
        <v>0</v>
      </c>
      <c r="M102" s="7">
        <f t="shared" si="19"/>
        <v>-6288.9729757925898</v>
      </c>
      <c r="N102" s="16">
        <f t="shared" si="16"/>
        <v>4081696730.3575993</v>
      </c>
      <c r="O102" s="12"/>
    </row>
    <row r="103" spans="2:24">
      <c r="B103" s="17">
        <f t="shared" si="17"/>
        <v>3.029317511940635</v>
      </c>
      <c r="C103" s="17">
        <f t="shared" si="20"/>
        <v>3.029317511940635</v>
      </c>
      <c r="D103" s="21">
        <f t="shared" si="21"/>
        <v>490.6746865930026</v>
      </c>
      <c r="E103" s="21">
        <f t="shared" si="18"/>
        <v>491.39867332626528</v>
      </c>
      <c r="F103" s="21">
        <f t="shared" si="11"/>
        <v>490.6746865930026</v>
      </c>
      <c r="G103" s="6">
        <f t="shared" si="12"/>
        <v>0.45829410202684229</v>
      </c>
      <c r="H103" s="22">
        <f t="shared" si="13"/>
        <v>427.63625163394897</v>
      </c>
      <c r="I103" s="21">
        <f t="shared" si="14"/>
        <v>0</v>
      </c>
      <c r="J103" s="1">
        <f t="shared" si="22"/>
        <v>0</v>
      </c>
      <c r="K103" s="21">
        <f t="shared" si="15"/>
        <v>122.5379009427669</v>
      </c>
      <c r="L103" s="3">
        <v>0</v>
      </c>
      <c r="M103" s="7">
        <f t="shared" si="19"/>
        <v>-6091.1042171839972</v>
      </c>
      <c r="N103" s="16">
        <f t="shared" si="16"/>
        <v>3955364732.8665113</v>
      </c>
      <c r="O103" s="12"/>
    </row>
    <row r="104" spans="2:24">
      <c r="B104" s="17">
        <f t="shared" si="17"/>
        <v>3.1480792420890684</v>
      </c>
      <c r="C104" s="17">
        <f t="shared" si="20"/>
        <v>3.1480792420890684</v>
      </c>
      <c r="D104" s="21">
        <f t="shared" si="21"/>
        <v>494.6644813275031</v>
      </c>
      <c r="E104" s="21">
        <f t="shared" si="18"/>
        <v>495.42876901767988</v>
      </c>
      <c r="F104" s="21">
        <f t="shared" si="11"/>
        <v>494.6644813275031</v>
      </c>
      <c r="G104" s="6">
        <f t="shared" si="12"/>
        <v>0.44459081047533433</v>
      </c>
      <c r="H104" s="22">
        <f t="shared" si="13"/>
        <v>429.37133864659575</v>
      </c>
      <c r="I104" s="21">
        <f t="shared" si="14"/>
        <v>0</v>
      </c>
      <c r="J104" s="1">
        <f t="shared" si="22"/>
        <v>0</v>
      </c>
      <c r="K104" s="21">
        <f t="shared" si="15"/>
        <v>121.57397844028469</v>
      </c>
      <c r="L104" s="3">
        <v>0</v>
      </c>
      <c r="M104" s="7">
        <f t="shared" si="19"/>
        <v>-5906.1004209651674</v>
      </c>
      <c r="N104" s="16">
        <f t="shared" si="16"/>
        <v>3837096756.2826724</v>
      </c>
      <c r="O104" s="12"/>
    </row>
    <row r="105" spans="2:24">
      <c r="B105" s="17">
        <f t="shared" si="17"/>
        <v>3.2668409722375036</v>
      </c>
      <c r="C105" s="17">
        <f>C80*D8</f>
        <v>3.2668409722375036</v>
      </c>
      <c r="D105" s="21">
        <f t="shared" si="21"/>
        <v>498.47617053161127</v>
      </c>
      <c r="E105" s="21">
        <f t="shared" si="18"/>
        <v>499.27896013294071</v>
      </c>
      <c r="F105" s="21">
        <f t="shared" si="11"/>
        <v>498.47617053161127</v>
      </c>
      <c r="G105" s="6">
        <f t="shared" si="12"/>
        <v>0.43172959242287867</v>
      </c>
      <c r="H105" s="22">
        <f t="shared" si="13"/>
        <v>431.02244706486556</v>
      </c>
      <c r="I105" s="21">
        <f t="shared" si="14"/>
        <v>0</v>
      </c>
      <c r="J105" s="1">
        <f t="shared" si="22"/>
        <v>0</v>
      </c>
      <c r="K105" s="21">
        <f t="shared" si="15"/>
        <v>120.49373532656057</v>
      </c>
      <c r="L105" s="3">
        <v>0</v>
      </c>
      <c r="M105" s="7">
        <f t="shared" si="19"/>
        <v>-5732.6677959690578</v>
      </c>
      <c r="N105" s="16">
        <f t="shared" si="16"/>
        <v>3726096400.6564288</v>
      </c>
      <c r="O105" s="12"/>
    </row>
    <row r="106" spans="2:24">
      <c r="B106" s="17"/>
      <c r="C106" s="17"/>
      <c r="G106" s="1"/>
      <c r="H106" s="22"/>
      <c r="I106" s="22"/>
      <c r="J106" s="1"/>
      <c r="K106" s="22"/>
      <c r="M106" s="15">
        <f>SUM(M80:M105)</f>
        <v>-281797.54348671529</v>
      </c>
      <c r="N106" s="15"/>
      <c r="O106" s="83" t="s">
        <v>124</v>
      </c>
    </row>
    <row r="107" spans="2:24">
      <c r="B107" s="20" t="s">
        <v>111</v>
      </c>
      <c r="C107" s="18" t="s">
        <v>118</v>
      </c>
      <c r="D107" s="14">
        <f>$D$4</f>
        <v>1.3</v>
      </c>
      <c r="E107" s="4" t="s">
        <v>119</v>
      </c>
      <c r="F107" s="4">
        <f>C$4*D107/(D107-1)</f>
        <v>1242.3218390804595</v>
      </c>
      <c r="G107" s="6"/>
      <c r="H107" s="21"/>
      <c r="I107" s="22"/>
      <c r="J107" s="1"/>
      <c r="K107" s="22"/>
      <c r="M107" s="3"/>
      <c r="O107" s="12"/>
    </row>
    <row r="108" spans="2:24">
      <c r="B108" s="17" t="s">
        <v>5</v>
      </c>
      <c r="C108" s="17" t="s">
        <v>121</v>
      </c>
      <c r="D108" t="s">
        <v>41</v>
      </c>
      <c r="E108" t="s">
        <v>123</v>
      </c>
      <c r="F108" t="s">
        <v>143</v>
      </c>
      <c r="G108" s="1" t="s">
        <v>15</v>
      </c>
      <c r="H108" s="22" t="s">
        <v>46</v>
      </c>
      <c r="I108" s="21" t="s">
        <v>47</v>
      </c>
      <c r="J108" s="6" t="s">
        <v>115</v>
      </c>
      <c r="K108" s="22" t="s">
        <v>98</v>
      </c>
      <c r="L108" s="4" t="s">
        <v>45</v>
      </c>
      <c r="M108" s="10" t="s">
        <v>44</v>
      </c>
      <c r="N108" s="10" t="s">
        <v>48</v>
      </c>
      <c r="O108" s="82" t="s">
        <v>80</v>
      </c>
    </row>
    <row r="109" spans="2:24">
      <c r="B109" s="17">
        <f>B105</f>
        <v>3.2668409722375036</v>
      </c>
      <c r="C109" s="19">
        <f>B109*(1+((D$107-1)/2)*J109^2)^(D$107/(D$107-1))</f>
        <v>3.2668409722375036</v>
      </c>
      <c r="D109" s="21">
        <f>D105</f>
        <v>498.47617053161127</v>
      </c>
      <c r="E109" s="21">
        <f t="shared" ref="E109:E134" si="23">(F109-$K$7*$E$12)/(1-$K$7)</f>
        <v>494.68300053698107</v>
      </c>
      <c r="F109" s="21">
        <f>F105</f>
        <v>498.47617053161127</v>
      </c>
      <c r="G109" s="6">
        <f t="shared" ref="G109:G134" si="24">($C$4*D109)/(101325*B109)</f>
        <v>0.43172959242287867</v>
      </c>
      <c r="H109" s="22">
        <f t="shared" ref="H109:H134" si="25">SQRT($D$107*$C$4*D109)</f>
        <v>431.02244706486556</v>
      </c>
      <c r="I109" s="21">
        <f>H109*J109</f>
        <v>0</v>
      </c>
      <c r="J109" s="1">
        <f>J105</f>
        <v>0</v>
      </c>
      <c r="K109" s="21">
        <f t="shared" ref="K109:K134" si="26">$F$107*LN(D109/$G$4)-$C$4*LN(B109/$H$4)</f>
        <v>120.49373532656057</v>
      </c>
      <c r="L109" s="3">
        <f t="shared" ref="L109:L133" si="27">F$107*((F109-E109)+(E110-F109))</f>
        <v>37722.604684361933</v>
      </c>
      <c r="N109" s="16">
        <f t="shared" ref="N109:N134" si="28">$B$17*G109/(I109+0.0000000001)</f>
        <v>3726096400.6564288</v>
      </c>
      <c r="O109" s="12" t="s">
        <v>0</v>
      </c>
      <c r="T109" s="7"/>
      <c r="U109" s="7"/>
      <c r="V109" s="7"/>
      <c r="W109" s="1"/>
      <c r="X109" s="1"/>
    </row>
    <row r="110" spans="2:24">
      <c r="B110" s="19">
        <f t="shared" ref="B110:B134" si="29">C110/((1+((D$107-1)/2)*J110^2)^(D$107/(D$107-1)))</f>
        <v>3.2642274994597136</v>
      </c>
      <c r="C110" s="19">
        <f>C109+(C$134-C$109)/25</f>
        <v>3.2642274994597136</v>
      </c>
      <c r="D110" s="21">
        <f>F110/(1+((D$107-1)/2)*J110^2)</f>
        <v>528.5371237103468</v>
      </c>
      <c r="E110" s="21">
        <f t="shared" si="23"/>
        <v>525.047599707421</v>
      </c>
      <c r="F110" s="21">
        <f>F109+(F$134-F$109)/25</f>
        <v>528.5371237103468</v>
      </c>
      <c r="G110" s="6">
        <f t="shared" si="24"/>
        <v>0.45813185213102481</v>
      </c>
      <c r="H110" s="22">
        <f t="shared" si="25"/>
        <v>443.82875466224624</v>
      </c>
      <c r="I110" s="22">
        <f>I109</f>
        <v>0</v>
      </c>
      <c r="J110" s="1">
        <f>J109</f>
        <v>0</v>
      </c>
      <c r="K110" s="21">
        <f t="shared" si="26"/>
        <v>193.47014235495794</v>
      </c>
      <c r="L110" s="3">
        <f t="shared" si="27"/>
        <v>37722.604684361999</v>
      </c>
      <c r="M110" s="7">
        <v>0</v>
      </c>
      <c r="N110" s="16">
        <f t="shared" si="28"/>
        <v>3953964414.789125</v>
      </c>
      <c r="O110" s="12" t="s">
        <v>101</v>
      </c>
      <c r="T110" s="7"/>
      <c r="U110" s="7"/>
      <c r="V110" s="7"/>
      <c r="W110" s="1"/>
      <c r="X110" s="1"/>
    </row>
    <row r="111" spans="2:24">
      <c r="B111" s="19">
        <f t="shared" si="29"/>
        <v>3.2616140266819236</v>
      </c>
      <c r="C111" s="19">
        <f t="shared" ref="C111:C133" si="30">C110+(C$134-C$109)/25</f>
        <v>3.2616140266819236</v>
      </c>
      <c r="D111" s="21">
        <f t="shared" ref="D111:D134" si="31">F111/(1+((D$107-1)/2)*J111^2)</f>
        <v>558.59807688908234</v>
      </c>
      <c r="E111" s="21">
        <f t="shared" si="23"/>
        <v>555.41219887786099</v>
      </c>
      <c r="F111" s="21">
        <f t="shared" ref="F111:F133" si="32">F110+(F$134-F$109)/25</f>
        <v>558.59807688908234</v>
      </c>
      <c r="G111" s="6">
        <f t="shared" si="24"/>
        <v>0.48457642315280597</v>
      </c>
      <c r="H111" s="22">
        <f t="shared" si="25"/>
        <v>456.27576864906581</v>
      </c>
      <c r="I111" s="22">
        <f>I110</f>
        <v>0</v>
      </c>
      <c r="J111" s="1">
        <f t="shared" ref="J111:J134" si="33">J110</f>
        <v>0</v>
      </c>
      <c r="K111" s="21">
        <f t="shared" si="26"/>
        <v>262.42149104102918</v>
      </c>
      <c r="L111" s="3">
        <f t="shared" si="27"/>
        <v>37722.604684361861</v>
      </c>
      <c r="M111" s="7">
        <v>0</v>
      </c>
      <c r="N111" s="16">
        <f t="shared" si="28"/>
        <v>4182197602.0213938</v>
      </c>
      <c r="O111" s="12" t="s">
        <v>102</v>
      </c>
      <c r="T111" s="7"/>
      <c r="U111" s="7"/>
      <c r="V111" s="7"/>
      <c r="W111" s="1"/>
      <c r="X111" s="1"/>
    </row>
    <row r="112" spans="2:24">
      <c r="B112" s="19">
        <f t="shared" si="29"/>
        <v>3.2590005539041336</v>
      </c>
      <c r="C112" s="19">
        <f t="shared" si="30"/>
        <v>3.2590005539041336</v>
      </c>
      <c r="D112" s="21">
        <f t="shared" si="31"/>
        <v>588.65903006781787</v>
      </c>
      <c r="E112" s="21">
        <f t="shared" si="23"/>
        <v>585.77679804830086</v>
      </c>
      <c r="F112" s="21">
        <f t="shared" si="32"/>
        <v>588.65903006781787</v>
      </c>
      <c r="G112" s="6">
        <f t="shared" si="24"/>
        <v>0.51106340727967414</v>
      </c>
      <c r="H112" s="22">
        <f t="shared" si="25"/>
        <v>468.39213341766464</v>
      </c>
      <c r="I112" s="22">
        <f>I111</f>
        <v>0</v>
      </c>
      <c r="J112" s="1">
        <f t="shared" si="33"/>
        <v>0</v>
      </c>
      <c r="K112" s="21">
        <f t="shared" si="26"/>
        <v>327.76997310751369</v>
      </c>
      <c r="L112" s="3">
        <f t="shared" si="27"/>
        <v>37722.604684361999</v>
      </c>
      <c r="M112" s="7">
        <v>0</v>
      </c>
      <c r="N112" s="16">
        <f t="shared" si="28"/>
        <v>4410796840.8771305</v>
      </c>
      <c r="O112" s="12" t="s">
        <v>40</v>
      </c>
      <c r="T112" s="7"/>
      <c r="U112" s="7"/>
      <c r="V112" s="7"/>
      <c r="W112" s="1"/>
      <c r="X112" s="1"/>
    </row>
    <row r="113" spans="2:24">
      <c r="B113" s="19">
        <f t="shared" si="29"/>
        <v>3.2563870811263436</v>
      </c>
      <c r="C113" s="19">
        <f t="shared" si="30"/>
        <v>3.2563870811263436</v>
      </c>
      <c r="D113" s="21">
        <f t="shared" si="31"/>
        <v>618.7199832465534</v>
      </c>
      <c r="E113" s="21">
        <f t="shared" si="23"/>
        <v>616.14139721874085</v>
      </c>
      <c r="F113" s="21">
        <f t="shared" si="32"/>
        <v>618.7199832465534</v>
      </c>
      <c r="G113" s="6">
        <f t="shared" si="24"/>
        <v>0.53759290662985981</v>
      </c>
      <c r="H113" s="22">
        <f t="shared" si="25"/>
        <v>480.2028782075414</v>
      </c>
      <c r="I113" s="22">
        <f>I112</f>
        <v>0</v>
      </c>
      <c r="J113" s="1">
        <f t="shared" si="33"/>
        <v>0</v>
      </c>
      <c r="K113" s="21">
        <f t="shared" si="26"/>
        <v>389.87465414107533</v>
      </c>
      <c r="L113" s="3">
        <f t="shared" si="27"/>
        <v>37722.604684361861</v>
      </c>
      <c r="M113" s="7">
        <v>0</v>
      </c>
      <c r="N113" s="16">
        <f t="shared" si="28"/>
        <v>4639763012.700532</v>
      </c>
      <c r="O113" s="12" t="s">
        <v>103</v>
      </c>
      <c r="T113" s="7"/>
      <c r="U113" s="7"/>
      <c r="V113" s="7"/>
      <c r="W113" s="1"/>
      <c r="X113" s="1"/>
    </row>
    <row r="114" spans="2:24">
      <c r="B114" s="19">
        <f t="shared" si="29"/>
        <v>3.2537736083485536</v>
      </c>
      <c r="C114" s="19">
        <f t="shared" si="30"/>
        <v>3.2537736083485536</v>
      </c>
      <c r="D114" s="21">
        <f t="shared" si="31"/>
        <v>648.78093642528893</v>
      </c>
      <c r="E114" s="21">
        <f t="shared" si="23"/>
        <v>646.50599638918072</v>
      </c>
      <c r="F114" s="21">
        <f t="shared" si="32"/>
        <v>648.78093642528893</v>
      </c>
      <c r="G114" s="6">
        <f t="shared" si="24"/>
        <v>0.56416502364968457</v>
      </c>
      <c r="H114" s="22">
        <f t="shared" si="25"/>
        <v>491.73002534933977</v>
      </c>
      <c r="I114" s="22">
        <f>I113</f>
        <v>0</v>
      </c>
      <c r="J114" s="1">
        <f t="shared" si="33"/>
        <v>0</v>
      </c>
      <c r="K114" s="21">
        <f t="shared" si="26"/>
        <v>449.04346322708216</v>
      </c>
      <c r="L114" s="3">
        <f t="shared" si="27"/>
        <v>37722.604684361999</v>
      </c>
      <c r="M114" s="7">
        <v>0</v>
      </c>
      <c r="N114" s="16">
        <f t="shared" si="28"/>
        <v>4869097001.6674271</v>
      </c>
      <c r="O114" s="12" t="s">
        <v>104</v>
      </c>
      <c r="T114" s="7"/>
      <c r="U114" s="7"/>
      <c r="V114" s="7"/>
      <c r="W114" s="1"/>
      <c r="X114" s="1"/>
    </row>
    <row r="115" spans="2:24">
      <c r="B115" s="19">
        <f t="shared" si="29"/>
        <v>3.2511601355707636</v>
      </c>
      <c r="C115" s="19">
        <f t="shared" si="30"/>
        <v>3.2511601355707636</v>
      </c>
      <c r="D115" s="21">
        <f t="shared" si="31"/>
        <v>678.84188960402446</v>
      </c>
      <c r="E115" s="21">
        <f t="shared" si="23"/>
        <v>676.87059555962071</v>
      </c>
      <c r="F115" s="21">
        <f t="shared" si="32"/>
        <v>678.84188960402446</v>
      </c>
      <c r="G115" s="6">
        <f t="shared" si="24"/>
        <v>0.59077986111487857</v>
      </c>
      <c r="H115" s="22">
        <f t="shared" si="25"/>
        <v>502.99307293571928</v>
      </c>
      <c r="I115" s="22">
        <f t="shared" ref="I115:I134" si="34">I114</f>
        <v>0</v>
      </c>
      <c r="J115" s="1">
        <f t="shared" si="33"/>
        <v>0</v>
      </c>
      <c r="K115" s="21">
        <f t="shared" si="26"/>
        <v>505.54246464441053</v>
      </c>
      <c r="L115" s="3">
        <f t="shared" si="27"/>
        <v>37722.604684361861</v>
      </c>
      <c r="M115" s="7">
        <v>0</v>
      </c>
      <c r="N115" s="16">
        <f t="shared" si="28"/>
        <v>5098799694.7966461</v>
      </c>
      <c r="O115" s="12" t="s">
        <v>105</v>
      </c>
      <c r="T115" s="7"/>
      <c r="U115" s="7"/>
      <c r="V115" s="7"/>
      <c r="W115" s="1"/>
      <c r="X115" s="1"/>
    </row>
    <row r="116" spans="2:24">
      <c r="B116" s="19">
        <f t="shared" si="29"/>
        <v>3.2485466627929735</v>
      </c>
      <c r="C116" s="19">
        <f t="shared" si="30"/>
        <v>3.2485466627929735</v>
      </c>
      <c r="D116" s="21">
        <f t="shared" si="31"/>
        <v>708.90284278275999</v>
      </c>
      <c r="E116" s="21">
        <f t="shared" si="23"/>
        <v>707.23519473006058</v>
      </c>
      <c r="F116" s="21">
        <f t="shared" si="32"/>
        <v>708.90284278275999</v>
      </c>
      <c r="G116" s="6">
        <f t="shared" si="24"/>
        <v>0.61743752213190717</v>
      </c>
      <c r="H116" s="22">
        <f t="shared" si="25"/>
        <v>514.00938222232219</v>
      </c>
      <c r="I116" s="22">
        <f t="shared" si="34"/>
        <v>0</v>
      </c>
      <c r="J116" s="1">
        <f t="shared" si="33"/>
        <v>0</v>
      </c>
      <c r="K116" s="21">
        <f t="shared" si="26"/>
        <v>559.60311902168826</v>
      </c>
      <c r="L116" s="3">
        <f t="shared" si="27"/>
        <v>37722.604684361999</v>
      </c>
      <c r="M116" s="7">
        <v>0</v>
      </c>
      <c r="N116" s="16">
        <f t="shared" si="28"/>
        <v>5328871981.9614716</v>
      </c>
      <c r="O116" s="12" t="s">
        <v>106</v>
      </c>
      <c r="T116" s="7"/>
      <c r="U116" s="7"/>
      <c r="V116" s="7"/>
      <c r="W116" s="1"/>
      <c r="X116" s="1"/>
    </row>
    <row r="117" spans="2:24">
      <c r="B117" s="19">
        <f t="shared" si="29"/>
        <v>3.2459331900151835</v>
      </c>
      <c r="C117" s="19">
        <f t="shared" si="30"/>
        <v>3.2459331900151835</v>
      </c>
      <c r="D117" s="21">
        <f t="shared" si="31"/>
        <v>738.96379596149552</v>
      </c>
      <c r="E117" s="21">
        <f t="shared" si="23"/>
        <v>737.59979390050057</v>
      </c>
      <c r="F117" s="21">
        <f t="shared" si="32"/>
        <v>738.96379596149552</v>
      </c>
      <c r="G117" s="6">
        <f t="shared" si="24"/>
        <v>0.64413811013930145</v>
      </c>
      <c r="H117" s="22">
        <f t="shared" si="25"/>
        <v>524.79449178114362</v>
      </c>
      <c r="I117" s="22">
        <f t="shared" si="34"/>
        <v>0</v>
      </c>
      <c r="J117" s="1">
        <f t="shared" si="33"/>
        <v>0</v>
      </c>
      <c r="K117" s="21">
        <f t="shared" si="26"/>
        <v>611.42803545513323</v>
      </c>
      <c r="L117" s="3">
        <f t="shared" si="27"/>
        <v>37722.604684361861</v>
      </c>
      <c r="M117" s="7">
        <v>0</v>
      </c>
      <c r="N117" s="16">
        <f t="shared" si="28"/>
        <v>5559314755.9011202</v>
      </c>
      <c r="O117" s="12" t="s">
        <v>25</v>
      </c>
      <c r="T117" s="7"/>
      <c r="U117" s="7"/>
      <c r="V117" s="7"/>
      <c r="W117" s="1"/>
      <c r="X117" s="1"/>
    </row>
    <row r="118" spans="2:24">
      <c r="B118" s="19">
        <f t="shared" si="29"/>
        <v>3.2433197172373935</v>
      </c>
      <c r="C118" s="19">
        <f t="shared" si="30"/>
        <v>3.2433197172373935</v>
      </c>
      <c r="D118" s="21">
        <f t="shared" si="31"/>
        <v>769.02474914023105</v>
      </c>
      <c r="E118" s="21">
        <f t="shared" si="23"/>
        <v>767.96439307094045</v>
      </c>
      <c r="F118" s="21">
        <f t="shared" si="32"/>
        <v>769.02474914023105</v>
      </c>
      <c r="G118" s="6">
        <f t="shared" si="24"/>
        <v>0.67088172890899611</v>
      </c>
      <c r="H118" s="22">
        <f t="shared" si="25"/>
        <v>535.36237465392003</v>
      </c>
      <c r="I118" s="22">
        <f t="shared" si="34"/>
        <v>0</v>
      </c>
      <c r="J118" s="1">
        <f t="shared" si="33"/>
        <v>0</v>
      </c>
      <c r="K118" s="21">
        <f t="shared" si="26"/>
        <v>661.19557595389529</v>
      </c>
      <c r="L118" s="3">
        <f t="shared" si="27"/>
        <v>37722.604684361999</v>
      </c>
      <c r="M118" s="7">
        <v>0</v>
      </c>
      <c r="N118" s="16">
        <f t="shared" si="28"/>
        <v>5790128912.2322903</v>
      </c>
      <c r="O118" s="12" t="s">
        <v>127</v>
      </c>
      <c r="T118" s="7"/>
      <c r="U118" s="7"/>
      <c r="V118" s="7"/>
      <c r="W118" s="1"/>
      <c r="X118" s="1"/>
    </row>
    <row r="119" spans="2:24">
      <c r="B119" s="19">
        <f t="shared" si="29"/>
        <v>3.2407062444596035</v>
      </c>
      <c r="C119" s="19">
        <f t="shared" si="30"/>
        <v>3.2407062444596035</v>
      </c>
      <c r="D119" s="21">
        <f t="shared" si="31"/>
        <v>799.08570231896658</v>
      </c>
      <c r="E119" s="21">
        <f t="shared" si="23"/>
        <v>798.32899224138043</v>
      </c>
      <c r="F119" s="21">
        <f t="shared" si="32"/>
        <v>799.08570231896658</v>
      </c>
      <c r="G119" s="6">
        <f t="shared" si="24"/>
        <v>0.69766848254767422</v>
      </c>
      <c r="H119" s="22">
        <f t="shared" si="25"/>
        <v>545.72565065822198</v>
      </c>
      <c r="I119" s="22">
        <f t="shared" si="34"/>
        <v>0</v>
      </c>
      <c r="J119" s="1">
        <f t="shared" si="33"/>
        <v>0</v>
      </c>
      <c r="K119" s="21">
        <f t="shared" si="26"/>
        <v>709.06357648366202</v>
      </c>
      <c r="L119" s="3">
        <f t="shared" si="27"/>
        <v>37722.604684361861</v>
      </c>
      <c r="M119" s="7">
        <v>0</v>
      </c>
      <c r="N119" s="16">
        <f t="shared" si="28"/>
        <v>6021315349.4607706</v>
      </c>
      <c r="O119" s="12"/>
      <c r="T119" s="7"/>
      <c r="U119" s="7"/>
      <c r="V119" s="7"/>
      <c r="W119" s="1"/>
      <c r="X119" s="1"/>
    </row>
    <row r="120" spans="2:24">
      <c r="B120" s="19">
        <f t="shared" si="29"/>
        <v>3.2380927716818135</v>
      </c>
      <c r="C120" s="19">
        <f t="shared" si="30"/>
        <v>3.2380927716818135</v>
      </c>
      <c r="D120" s="21">
        <f t="shared" si="31"/>
        <v>829.14665549770211</v>
      </c>
      <c r="E120" s="21">
        <f t="shared" si="23"/>
        <v>828.69359141182031</v>
      </c>
      <c r="F120" s="21">
        <f t="shared" si="32"/>
        <v>829.14665549770211</v>
      </c>
      <c r="G120" s="6">
        <f t="shared" si="24"/>
        <v>0.72449847549811763</v>
      </c>
      <c r="H120" s="22">
        <f t="shared" si="25"/>
        <v>555.89576305058779</v>
      </c>
      <c r="I120" s="22">
        <f t="shared" si="34"/>
        <v>0</v>
      </c>
      <c r="J120" s="1">
        <f t="shared" si="33"/>
        <v>0</v>
      </c>
      <c r="K120" s="21">
        <f t="shared" si="26"/>
        <v>755.17238050057551</v>
      </c>
      <c r="L120" s="3">
        <f t="shared" si="27"/>
        <v>37722.604684361999</v>
      </c>
      <c r="M120" s="7">
        <v>0</v>
      </c>
      <c r="N120" s="16">
        <f t="shared" si="28"/>
        <v>6252874968.9930887</v>
      </c>
      <c r="O120" s="12"/>
      <c r="T120" s="7"/>
      <c r="U120" s="7"/>
      <c r="V120" s="7"/>
      <c r="W120" s="1"/>
      <c r="X120" s="1"/>
    </row>
    <row r="121" spans="2:24">
      <c r="B121" s="19">
        <f t="shared" si="29"/>
        <v>3.2354792989040235</v>
      </c>
      <c r="C121" s="19">
        <f t="shared" si="30"/>
        <v>3.2354792989040235</v>
      </c>
      <c r="D121" s="21">
        <f t="shared" si="31"/>
        <v>859.20760867643764</v>
      </c>
      <c r="E121" s="21">
        <f t="shared" si="23"/>
        <v>859.05819058226029</v>
      </c>
      <c r="F121" s="21">
        <f t="shared" si="32"/>
        <v>859.20760867643764</v>
      </c>
      <c r="G121" s="6">
        <f t="shared" si="24"/>
        <v>0.75137181254056506</v>
      </c>
      <c r="H121" s="22">
        <f t="shared" si="25"/>
        <v>565.8831265984619</v>
      </c>
      <c r="I121" s="22">
        <f t="shared" si="34"/>
        <v>0</v>
      </c>
      <c r="J121" s="1">
        <f t="shared" si="33"/>
        <v>0</v>
      </c>
      <c r="K121" s="21">
        <f t="shared" si="26"/>
        <v>799.64733199026568</v>
      </c>
      <c r="L121" s="3">
        <f t="shared" si="27"/>
        <v>37722.604684361861</v>
      </c>
      <c r="M121" s="7">
        <v>0</v>
      </c>
      <c r="N121" s="16">
        <f t="shared" si="28"/>
        <v>6484808675.1482382</v>
      </c>
      <c r="O121" s="12"/>
      <c r="T121" s="7"/>
      <c r="U121" s="7"/>
      <c r="V121" s="7"/>
      <c r="W121" s="1"/>
      <c r="X121" s="1"/>
    </row>
    <row r="122" spans="2:24">
      <c r="B122" s="19">
        <f t="shared" si="29"/>
        <v>3.2328658261262335</v>
      </c>
      <c r="C122" s="19">
        <f t="shared" si="30"/>
        <v>3.2328658261262335</v>
      </c>
      <c r="D122" s="21">
        <f t="shared" si="31"/>
        <v>889.26856185517317</v>
      </c>
      <c r="E122" s="21">
        <f t="shared" si="23"/>
        <v>889.42278975270017</v>
      </c>
      <c r="F122" s="21">
        <f t="shared" si="32"/>
        <v>889.26856185517317</v>
      </c>
      <c r="G122" s="6">
        <f t="shared" si="24"/>
        <v>0.7782885987940753</v>
      </c>
      <c r="H122" s="22">
        <f t="shared" si="25"/>
        <v>575.69725252089427</v>
      </c>
      <c r="I122" s="22">
        <f t="shared" si="34"/>
        <v>0</v>
      </c>
      <c r="J122" s="1">
        <f t="shared" si="33"/>
        <v>0</v>
      </c>
      <c r="K122" s="21">
        <f t="shared" si="26"/>
        <v>842.60083960879354</v>
      </c>
      <c r="L122" s="3">
        <f t="shared" si="27"/>
        <v>37722.604684361999</v>
      </c>
      <c r="M122" s="7">
        <v>0</v>
      </c>
      <c r="N122" s="16">
        <f t="shared" si="28"/>
        <v>6717117375.1694412</v>
      </c>
      <c r="O122" s="12"/>
      <c r="T122" s="7"/>
      <c r="U122" s="7"/>
      <c r="V122" s="7"/>
      <c r="W122" s="1"/>
      <c r="X122" s="1"/>
    </row>
    <row r="123" spans="2:24">
      <c r="B123" s="19">
        <f t="shared" si="29"/>
        <v>3.2302523533484435</v>
      </c>
      <c r="C123" s="19">
        <f t="shared" si="30"/>
        <v>3.2302523533484435</v>
      </c>
      <c r="D123" s="21">
        <f t="shared" si="31"/>
        <v>919.32951503390871</v>
      </c>
      <c r="E123" s="21">
        <f t="shared" si="23"/>
        <v>919.78738892314016</v>
      </c>
      <c r="F123" s="21">
        <f t="shared" si="32"/>
        <v>919.32951503390871</v>
      </c>
      <c r="G123" s="6">
        <f t="shared" si="24"/>
        <v>0.80524893971789901</v>
      </c>
      <c r="H123" s="22">
        <f t="shared" si="25"/>
        <v>585.34685456689851</v>
      </c>
      <c r="I123" s="22">
        <f t="shared" si="34"/>
        <v>0</v>
      </c>
      <c r="J123" s="1">
        <f t="shared" si="33"/>
        <v>0</v>
      </c>
      <c r="K123" s="21">
        <f t="shared" si="26"/>
        <v>884.13409753236147</v>
      </c>
      <c r="L123" s="3">
        <f t="shared" si="27"/>
        <v>37722.604684361861</v>
      </c>
      <c r="M123" s="7">
        <v>0</v>
      </c>
      <c r="N123" s="16">
        <f t="shared" si="28"/>
        <v>6949801979.2359896</v>
      </c>
      <c r="O123" s="12"/>
      <c r="T123" s="7"/>
      <c r="U123" s="7"/>
      <c r="V123" s="7"/>
      <c r="W123" s="1"/>
      <c r="X123" s="1"/>
    </row>
    <row r="124" spans="2:24">
      <c r="B124" s="19">
        <f t="shared" si="29"/>
        <v>3.2276388805706535</v>
      </c>
      <c r="C124" s="19">
        <f t="shared" si="30"/>
        <v>3.2276388805706535</v>
      </c>
      <c r="D124" s="21">
        <f t="shared" si="31"/>
        <v>949.39046821264424</v>
      </c>
      <c r="E124" s="21">
        <f t="shared" si="23"/>
        <v>950.15198809358003</v>
      </c>
      <c r="F124" s="21">
        <f t="shared" si="32"/>
        <v>949.39046821264424</v>
      </c>
      <c r="G124" s="6">
        <f t="shared" si="24"/>
        <v>0.83225294111285408</v>
      </c>
      <c r="H124" s="22">
        <f t="shared" si="25"/>
        <v>594.83993959939949</v>
      </c>
      <c r="I124" s="22">
        <f t="shared" si="34"/>
        <v>0</v>
      </c>
      <c r="J124" s="1">
        <f t="shared" si="33"/>
        <v>0</v>
      </c>
      <c r="K124" s="21">
        <f t="shared" si="26"/>
        <v>924.33852932810021</v>
      </c>
      <c r="L124" s="3">
        <f t="shared" si="27"/>
        <v>37722.604684361999</v>
      </c>
      <c r="M124" s="7">
        <v>0</v>
      </c>
      <c r="N124" s="16">
        <f t="shared" si="28"/>
        <v>7182863400.475112</v>
      </c>
      <c r="O124" s="12"/>
      <c r="T124" s="7"/>
      <c r="U124" s="7"/>
      <c r="V124" s="7"/>
      <c r="W124" s="1"/>
      <c r="X124" s="1"/>
    </row>
    <row r="125" spans="2:24">
      <c r="B125" s="19">
        <f t="shared" si="29"/>
        <v>3.2250254077928635</v>
      </c>
      <c r="C125" s="19">
        <f t="shared" si="30"/>
        <v>3.2250254077928635</v>
      </c>
      <c r="D125" s="21">
        <f t="shared" si="31"/>
        <v>979.45142139137977</v>
      </c>
      <c r="E125" s="21">
        <f t="shared" si="23"/>
        <v>980.51658726402002</v>
      </c>
      <c r="F125" s="21">
        <f t="shared" si="32"/>
        <v>979.45142139137977</v>
      </c>
      <c r="G125" s="6">
        <f t="shared" si="24"/>
        <v>0.85930070912271195</v>
      </c>
      <c r="H125" s="22">
        <f t="shared" si="25"/>
        <v>604.18388536427608</v>
      </c>
      <c r="I125" s="22">
        <f t="shared" si="34"/>
        <v>0</v>
      </c>
      <c r="J125" s="1">
        <f t="shared" si="33"/>
        <v>0</v>
      </c>
      <c r="K125" s="21">
        <f t="shared" si="26"/>
        <v>963.29700667898453</v>
      </c>
      <c r="L125" s="3">
        <f t="shared" si="27"/>
        <v>37722.604684361861</v>
      </c>
      <c r="M125" s="7">
        <v>0</v>
      </c>
      <c r="N125" s="16">
        <f t="shared" si="28"/>
        <v>7416302554.9739437</v>
      </c>
      <c r="O125" s="12"/>
      <c r="T125" s="7"/>
      <c r="U125" s="7"/>
      <c r="V125" s="7"/>
      <c r="W125" s="1"/>
      <c r="X125" s="1"/>
    </row>
    <row r="126" spans="2:24">
      <c r="B126" s="19">
        <f t="shared" si="29"/>
        <v>3.2224119350150735</v>
      </c>
      <c r="C126" s="19">
        <f t="shared" si="30"/>
        <v>3.2224119350150735</v>
      </c>
      <c r="D126" s="21">
        <f t="shared" si="31"/>
        <v>1009.5123745701153</v>
      </c>
      <c r="E126" s="21">
        <f t="shared" si="23"/>
        <v>1010.8811864344599</v>
      </c>
      <c r="F126" s="21">
        <f t="shared" si="32"/>
        <v>1009.5123745701153</v>
      </c>
      <c r="G126" s="6">
        <f t="shared" si="24"/>
        <v>0.88639235023558682</v>
      </c>
      <c r="H126" s="22">
        <f t="shared" si="25"/>
        <v>613.38550759300495</v>
      </c>
      <c r="I126" s="22">
        <f t="shared" si="34"/>
        <v>0</v>
      </c>
      <c r="J126" s="1">
        <f t="shared" si="33"/>
        <v>0</v>
      </c>
      <c r="K126" s="21">
        <f t="shared" si="26"/>
        <v>1001.0848838208431</v>
      </c>
      <c r="L126" s="3">
        <f t="shared" si="27"/>
        <v>37722.604684362144</v>
      </c>
      <c r="M126" s="7">
        <v>0</v>
      </c>
      <c r="N126" s="16">
        <f t="shared" si="28"/>
        <v>7650120361.7915077</v>
      </c>
      <c r="O126" s="12"/>
      <c r="T126" s="7"/>
      <c r="U126" s="7"/>
      <c r="V126" s="7"/>
      <c r="W126" s="1"/>
      <c r="X126" s="1"/>
    </row>
    <row r="127" spans="2:24">
      <c r="B127" s="19">
        <f t="shared" si="29"/>
        <v>3.2197984622372835</v>
      </c>
      <c r="C127" s="19">
        <f t="shared" si="30"/>
        <v>3.2197984622372835</v>
      </c>
      <c r="D127" s="21">
        <f t="shared" si="31"/>
        <v>1039.5733277488509</v>
      </c>
      <c r="E127" s="21">
        <f t="shared" si="23"/>
        <v>1041.2457856049</v>
      </c>
      <c r="F127" s="21">
        <f t="shared" si="32"/>
        <v>1039.5733277488509</v>
      </c>
      <c r="G127" s="6">
        <f t="shared" si="24"/>
        <v>0.91352797128533292</v>
      </c>
      <c r="H127" s="22">
        <f t="shared" si="25"/>
        <v>622.45111817425777</v>
      </c>
      <c r="I127" s="22">
        <f t="shared" si="34"/>
        <v>0</v>
      </c>
      <c r="J127" s="1">
        <f t="shared" si="33"/>
        <v>0</v>
      </c>
      <c r="K127" s="21">
        <f t="shared" si="26"/>
        <v>1037.7708801523804</v>
      </c>
      <c r="L127" s="3">
        <f t="shared" si="27"/>
        <v>37722.604684361999</v>
      </c>
      <c r="M127" s="7">
        <v>0</v>
      </c>
      <c r="N127" s="16">
        <f t="shared" si="28"/>
        <v>7884317742.970787</v>
      </c>
      <c r="O127" s="12"/>
      <c r="T127" s="7"/>
      <c r="U127" s="7"/>
      <c r="V127" s="7"/>
      <c r="W127" s="1"/>
      <c r="X127" s="1"/>
    </row>
    <row r="128" spans="2:24">
      <c r="B128" s="19">
        <f t="shared" si="29"/>
        <v>3.2171849894594935</v>
      </c>
      <c r="C128" s="19">
        <f t="shared" si="30"/>
        <v>3.2171849894594935</v>
      </c>
      <c r="D128" s="21">
        <f t="shared" si="31"/>
        <v>1069.6342809275866</v>
      </c>
      <c r="E128" s="21">
        <f t="shared" si="23"/>
        <v>1071.61038477534</v>
      </c>
      <c r="F128" s="21">
        <f t="shared" si="32"/>
        <v>1069.6342809275866</v>
      </c>
      <c r="G128" s="6">
        <f t="shared" si="24"/>
        <v>0.94070767945295053</v>
      </c>
      <c r="H128" s="22">
        <f t="shared" si="25"/>
        <v>631.38657580569395</v>
      </c>
      <c r="I128" s="22">
        <f t="shared" si="34"/>
        <v>0</v>
      </c>
      <c r="J128" s="1">
        <f t="shared" si="33"/>
        <v>0</v>
      </c>
      <c r="K128" s="21">
        <f t="shared" si="26"/>
        <v>1073.4178369982335</v>
      </c>
      <c r="L128" s="3">
        <f t="shared" si="27"/>
        <v>37722.604684361999</v>
      </c>
      <c r="M128" s="7">
        <v>0</v>
      </c>
      <c r="N128" s="16">
        <f t="shared" si="28"/>
        <v>8118895623.550848</v>
      </c>
      <c r="O128" s="12"/>
      <c r="T128" s="7"/>
      <c r="U128" s="7"/>
      <c r="V128" s="7"/>
      <c r="W128" s="1"/>
      <c r="X128" s="1"/>
    </row>
    <row r="129" spans="2:24">
      <c r="B129" s="19">
        <f t="shared" si="29"/>
        <v>3.2145715166817035</v>
      </c>
      <c r="C129" s="19">
        <f t="shared" si="30"/>
        <v>3.2145715166817035</v>
      </c>
      <c r="D129" s="21">
        <f t="shared" si="31"/>
        <v>1099.6952341063222</v>
      </c>
      <c r="E129" s="21">
        <f t="shared" si="23"/>
        <v>1101.97498394578</v>
      </c>
      <c r="F129" s="21">
        <f t="shared" si="32"/>
        <v>1099.6952341063222</v>
      </c>
      <c r="G129" s="6">
        <f t="shared" si="24"/>
        <v>0.96793158226799514</v>
      </c>
      <c r="H129" s="22">
        <f t="shared" si="25"/>
        <v>640.19733028098051</v>
      </c>
      <c r="I129" s="22">
        <f t="shared" si="34"/>
        <v>0</v>
      </c>
      <c r="J129" s="1">
        <f t="shared" si="33"/>
        <v>0</v>
      </c>
      <c r="K129" s="21">
        <f t="shared" si="26"/>
        <v>1108.0833694620515</v>
      </c>
      <c r="L129" s="3">
        <f t="shared" si="27"/>
        <v>37722.604684362283</v>
      </c>
      <c r="M129" s="7">
        <v>0</v>
      </c>
      <c r="N129" s="16">
        <f t="shared" si="28"/>
        <v>8353854931.5790052</v>
      </c>
      <c r="O129" s="12"/>
      <c r="T129" s="7"/>
      <c r="U129" s="7"/>
      <c r="V129" s="7"/>
      <c r="W129" s="1"/>
      <c r="X129" s="1"/>
    </row>
    <row r="130" spans="2:24">
      <c r="B130" s="19">
        <f t="shared" si="29"/>
        <v>3.2119580439039135</v>
      </c>
      <c r="C130" s="19">
        <f t="shared" si="30"/>
        <v>3.2119580439039135</v>
      </c>
      <c r="D130" s="21">
        <f t="shared" si="31"/>
        <v>1129.7561872850579</v>
      </c>
      <c r="E130" s="21">
        <f t="shared" si="23"/>
        <v>1132.3395831162202</v>
      </c>
      <c r="F130" s="21">
        <f t="shared" si="32"/>
        <v>1129.7561872850579</v>
      </c>
      <c r="G130" s="6">
        <f t="shared" si="24"/>
        <v>0.99519978760999672</v>
      </c>
      <c r="H130" s="22">
        <f t="shared" si="25"/>
        <v>648.88846136308382</v>
      </c>
      <c r="I130" s="22">
        <f t="shared" si="34"/>
        <v>0</v>
      </c>
      <c r="J130" s="1">
        <f t="shared" si="33"/>
        <v>0</v>
      </c>
      <c r="K130" s="21">
        <f t="shared" si="26"/>
        <v>1141.8204303521811</v>
      </c>
      <c r="L130" s="3">
        <f t="shared" si="27"/>
        <v>37722.604684361999</v>
      </c>
      <c r="M130" s="7">
        <v>0</v>
      </c>
      <c r="N130" s="16">
        <f t="shared" si="28"/>
        <v>8589196598.1230755</v>
      </c>
      <c r="O130" s="12"/>
      <c r="T130" s="7"/>
      <c r="U130" s="7"/>
      <c r="V130" s="7"/>
      <c r="W130" s="1"/>
      <c r="X130" s="1"/>
    </row>
    <row r="131" spans="2:24">
      <c r="B131" s="19">
        <f t="shared" si="29"/>
        <v>3.2093445711261235</v>
      </c>
      <c r="C131" s="19">
        <f t="shared" si="30"/>
        <v>3.2093445711261235</v>
      </c>
      <c r="D131" s="21">
        <f t="shared" si="31"/>
        <v>1159.8171404637935</v>
      </c>
      <c r="E131" s="21">
        <f t="shared" si="23"/>
        <v>1162.7041822866602</v>
      </c>
      <c r="F131" s="21">
        <f t="shared" si="32"/>
        <v>1159.8171404637935</v>
      </c>
      <c r="G131" s="6">
        <f t="shared" si="24"/>
        <v>1.0225124037098843</v>
      </c>
      <c r="H131" s="22">
        <f t="shared" si="25"/>
        <v>657.46471303135797</v>
      </c>
      <c r="I131" s="22">
        <f t="shared" si="34"/>
        <v>0</v>
      </c>
      <c r="J131" s="1">
        <f t="shared" si="33"/>
        <v>0</v>
      </c>
      <c r="K131" s="21">
        <f t="shared" si="26"/>
        <v>1174.6778000393497</v>
      </c>
      <c r="L131" s="3">
        <f t="shared" si="27"/>
        <v>37722.604684361999</v>
      </c>
      <c r="M131" s="7">
        <v>0</v>
      </c>
      <c r="N131" s="16">
        <f t="shared" si="28"/>
        <v>8824921557.2836666</v>
      </c>
      <c r="O131" s="12"/>
      <c r="T131" s="7"/>
      <c r="U131" s="7"/>
      <c r="V131" s="7"/>
      <c r="W131" s="1"/>
      <c r="X131" s="1"/>
    </row>
    <row r="132" spans="2:24">
      <c r="B132" s="19">
        <f t="shared" si="29"/>
        <v>3.2067310983483335</v>
      </c>
      <c r="C132" s="19">
        <f t="shared" si="30"/>
        <v>3.2067310983483335</v>
      </c>
      <c r="D132" s="21">
        <f t="shared" si="31"/>
        <v>1189.8780936425292</v>
      </c>
      <c r="E132" s="21">
        <f t="shared" si="23"/>
        <v>1193.0687814571002</v>
      </c>
      <c r="F132" s="21">
        <f t="shared" si="32"/>
        <v>1189.8780936425292</v>
      </c>
      <c r="G132" s="6">
        <f t="shared" si="24"/>
        <v>1.0498695391514179</v>
      </c>
      <c r="H132" s="22">
        <f t="shared" si="25"/>
        <v>665.93052375804302</v>
      </c>
      <c r="I132" s="22">
        <f t="shared" si="34"/>
        <v>0</v>
      </c>
      <c r="J132" s="1">
        <f t="shared" si="33"/>
        <v>0</v>
      </c>
      <c r="K132" s="21">
        <f t="shared" si="26"/>
        <v>1206.7005136221685</v>
      </c>
      <c r="L132" s="3">
        <f t="shared" si="27"/>
        <v>37722.604684361999</v>
      </c>
      <c r="M132" s="7">
        <v>0</v>
      </c>
      <c r="N132" s="16">
        <f t="shared" si="28"/>
        <v>9061030746.2065411</v>
      </c>
      <c r="O132" s="12"/>
      <c r="T132" s="7"/>
      <c r="U132" s="7"/>
      <c r="V132" s="7"/>
      <c r="W132" s="1"/>
      <c r="X132" s="1"/>
    </row>
    <row r="133" spans="2:24">
      <c r="B133" s="19">
        <f t="shared" si="29"/>
        <v>3.2041176255705435</v>
      </c>
      <c r="C133" s="19">
        <f t="shared" si="30"/>
        <v>3.2041176255705435</v>
      </c>
      <c r="D133" s="21">
        <f t="shared" si="31"/>
        <v>1219.9390468212648</v>
      </c>
      <c r="E133" s="21">
        <f t="shared" si="23"/>
        <v>1223.4333806275401</v>
      </c>
      <c r="F133" s="21">
        <f t="shared" si="32"/>
        <v>1219.9390468212648</v>
      </c>
      <c r="G133" s="6">
        <f t="shared" si="24"/>
        <v>1.0772713028726277</v>
      </c>
      <c r="H133" s="22">
        <f t="shared" si="25"/>
        <v>674.29005336273281</v>
      </c>
      <c r="I133" s="22">
        <f t="shared" si="34"/>
        <v>0</v>
      </c>
      <c r="J133" s="1">
        <f t="shared" si="33"/>
        <v>0</v>
      </c>
      <c r="K133" s="21">
        <f t="shared" si="26"/>
        <v>1237.9302347887037</v>
      </c>
      <c r="L133" s="3">
        <f t="shared" si="27"/>
        <v>37722.604684361722</v>
      </c>
      <c r="M133" s="7">
        <v>0</v>
      </c>
      <c r="N133" s="16">
        <f t="shared" si="28"/>
        <v>9297525105.0950317</v>
      </c>
      <c r="O133" s="12"/>
      <c r="T133" s="7"/>
      <c r="U133" s="7"/>
      <c r="V133" s="7"/>
      <c r="W133" s="1"/>
      <c r="X133" s="1"/>
    </row>
    <row r="134" spans="2:24">
      <c r="B134" s="19">
        <f t="shared" si="29"/>
        <v>3.2015041527927535</v>
      </c>
      <c r="C134" s="19">
        <f>C109*E11</f>
        <v>3.2015041527927535</v>
      </c>
      <c r="D134" s="21">
        <f t="shared" si="31"/>
        <v>1250</v>
      </c>
      <c r="E134" s="21">
        <f t="shared" si="23"/>
        <v>1253.7979797979799</v>
      </c>
      <c r="F134" s="21">
        <f>$E$8*$G$4</f>
        <v>1250</v>
      </c>
      <c r="G134" s="6">
        <f t="shared" si="24"/>
        <v>1.1047178041672594</v>
      </c>
      <c r="H134" s="22">
        <f t="shared" si="25"/>
        <v>682.54720690599299</v>
      </c>
      <c r="I134" s="22">
        <f t="shared" si="34"/>
        <v>0</v>
      </c>
      <c r="J134" s="1">
        <f t="shared" si="33"/>
        <v>0</v>
      </c>
      <c r="K134" s="21">
        <f t="shared" si="26"/>
        <v>1268.405584161992</v>
      </c>
      <c r="L134" s="3">
        <v>0</v>
      </c>
      <c r="M134" s="7">
        <v>0</v>
      </c>
      <c r="N134" s="16">
        <f t="shared" si="28"/>
        <v>9534405577.2225189</v>
      </c>
      <c r="O134" s="12"/>
      <c r="T134" s="7"/>
      <c r="U134" s="7"/>
      <c r="V134" s="7"/>
      <c r="W134" s="1"/>
      <c r="X134" s="1"/>
    </row>
    <row r="135" spans="2:24">
      <c r="B135" s="17"/>
      <c r="C135" s="17"/>
      <c r="G135" s="1"/>
      <c r="H135" s="22"/>
      <c r="I135" s="22"/>
      <c r="J135" s="1"/>
      <c r="K135" s="22"/>
      <c r="M135" s="3"/>
      <c r="O135" s="12"/>
    </row>
    <row r="136" spans="2:24">
      <c r="B136" s="20" t="s">
        <v>88</v>
      </c>
      <c r="C136" s="18" t="s">
        <v>118</v>
      </c>
      <c r="D136" s="14">
        <f>$D$4</f>
        <v>1.3</v>
      </c>
      <c r="E136" s="4" t="s">
        <v>119</v>
      </c>
      <c r="F136" s="4">
        <f>C$4*D136/(D136-1)</f>
        <v>1242.3218390804595</v>
      </c>
      <c r="G136" s="6"/>
      <c r="H136" s="21"/>
      <c r="I136" s="22"/>
      <c r="J136" s="1"/>
      <c r="K136" s="22"/>
      <c r="M136" s="3"/>
      <c r="O136" s="12"/>
    </row>
    <row r="137" spans="2:24">
      <c r="B137" s="17" t="s">
        <v>5</v>
      </c>
      <c r="C137" s="17" t="s">
        <v>121</v>
      </c>
      <c r="D137" t="s">
        <v>41</v>
      </c>
      <c r="E137" t="s">
        <v>123</v>
      </c>
      <c r="F137" t="s">
        <v>143</v>
      </c>
      <c r="G137" s="1" t="s">
        <v>15</v>
      </c>
      <c r="H137" s="22" t="s">
        <v>46</v>
      </c>
      <c r="I137" s="21" t="s">
        <v>47</v>
      </c>
      <c r="J137" s="6" t="s">
        <v>115</v>
      </c>
      <c r="K137" s="22" t="s">
        <v>98</v>
      </c>
      <c r="L137" s="4" t="s">
        <v>45</v>
      </c>
      <c r="M137" s="10" t="s">
        <v>44</v>
      </c>
      <c r="N137" s="10" t="s">
        <v>48</v>
      </c>
      <c r="O137" s="12"/>
    </row>
    <row r="138" spans="2:24">
      <c r="B138" s="17">
        <f>B134</f>
        <v>3.2015041527927535</v>
      </c>
      <c r="C138" s="17">
        <f>C134</f>
        <v>3.2015041527927535</v>
      </c>
      <c r="D138" s="21">
        <f>D134</f>
        <v>1250</v>
      </c>
      <c r="E138" s="21">
        <f>E134</f>
        <v>1253.7979797979799</v>
      </c>
      <c r="F138" s="21">
        <f t="shared" ref="F138:F163" si="35">E138*(1-$K$7)+$K$7*$F$12</f>
        <v>1251.95</v>
      </c>
      <c r="G138" s="6">
        <f t="shared" ref="G138:G163" si="36">($C$4*D138)/(101325*B138)</f>
        <v>1.1047178041672594</v>
      </c>
      <c r="H138" s="22">
        <f>H134</f>
        <v>682.54720690599299</v>
      </c>
      <c r="I138" s="22">
        <f>I134</f>
        <v>0</v>
      </c>
      <c r="J138" s="1">
        <f>J134</f>
        <v>0</v>
      </c>
      <c r="K138" s="21">
        <f t="shared" ref="K138:K163" si="37">$F$136*LN(D138/$G$4)-$C$4*LN(B138/$H$4)</f>
        <v>1268.405584161992</v>
      </c>
      <c r="L138" s="3">
        <v>0</v>
      </c>
      <c r="M138">
        <v>0</v>
      </c>
      <c r="N138" s="16">
        <f t="shared" ref="N138:N163" si="38">$B$17*G138/(I138+0.0000000001)</f>
        <v>9534405577.2225189</v>
      </c>
      <c r="O138" s="77" t="s">
        <v>26</v>
      </c>
    </row>
    <row r="139" spans="2:24">
      <c r="B139" s="19">
        <f t="shared" ref="B139:B163" si="39">C139/((1+((D$136-1)/2)*J139^2)^(D$136/(D$136-1)))</f>
        <v>3.0970069932932351</v>
      </c>
      <c r="C139" s="19">
        <f t="shared" ref="C139:C163" si="40">C138*(1-((1-E139/F138)/$F$11))^($D$136/($D$136-1))</f>
        <v>3.0970069932932351</v>
      </c>
      <c r="D139" s="21">
        <f>F139/(1+((D$136-1)/2)*J139^2)</f>
        <v>1241.1379784254509</v>
      </c>
      <c r="E139" s="21">
        <f>F138-M139/(F$136)</f>
        <v>1242.8767458842938</v>
      </c>
      <c r="F139" s="21">
        <f t="shared" si="35"/>
        <v>1241.1379784254509</v>
      </c>
      <c r="G139" s="6">
        <f t="shared" si="36"/>
        <v>1.1338961714420703</v>
      </c>
      <c r="H139" s="22">
        <f t="shared" ref="H139:H163" si="41">SQRT($D$136*$C$4*D139)</f>
        <v>680.12340407681393</v>
      </c>
      <c r="I139" s="22">
        <f>I138</f>
        <v>0</v>
      </c>
      <c r="J139" s="1">
        <f>J138</f>
        <v>0</v>
      </c>
      <c r="K139" s="21">
        <f t="shared" si="37"/>
        <v>1269.0803063505746</v>
      </c>
      <c r="L139" s="3">
        <v>0</v>
      </c>
      <c r="M139" s="7">
        <f>-(M$106)/25</f>
        <v>11271.901739468613</v>
      </c>
      <c r="N139" s="16">
        <f t="shared" si="38"/>
        <v>9786233135.9255409</v>
      </c>
      <c r="O139" s="12" t="s">
        <v>39</v>
      </c>
    </row>
    <row r="140" spans="2:24">
      <c r="B140" s="19">
        <f t="shared" si="39"/>
        <v>2.9950513243883301</v>
      </c>
      <c r="C140" s="19">
        <f t="shared" si="40"/>
        <v>2.9950513243883301</v>
      </c>
      <c r="D140" s="21">
        <f t="shared" ref="D140:D163" si="42">F140/(1+((D$136-1)/2)*J140^2)</f>
        <v>1230.4340770666472</v>
      </c>
      <c r="E140" s="21">
        <f t="shared" ref="E140:E163" si="43">F139-M140/(F$136)</f>
        <v>1232.0647243097446</v>
      </c>
      <c r="F140" s="21">
        <f t="shared" si="35"/>
        <v>1230.4340770666472</v>
      </c>
      <c r="G140" s="6">
        <f t="shared" si="36"/>
        <v>1.1623836465858208</v>
      </c>
      <c r="H140" s="22">
        <f t="shared" si="41"/>
        <v>677.18427155879192</v>
      </c>
      <c r="I140" s="22">
        <f>I139</f>
        <v>0</v>
      </c>
      <c r="J140" s="1">
        <f t="shared" ref="J140:J163" si="44">J139</f>
        <v>0</v>
      </c>
      <c r="K140" s="21">
        <f t="shared" si="37"/>
        <v>1267.9166033211263</v>
      </c>
      <c r="L140" s="3">
        <v>0</v>
      </c>
      <c r="M140" s="7">
        <f t="shared" ref="M140:M163" si="45">-(M$106)/25</f>
        <v>11271.901739468613</v>
      </c>
      <c r="N140" s="16">
        <f t="shared" si="38"/>
        <v>10032097863.430593</v>
      </c>
      <c r="O140" s="12" t="s">
        <v>76</v>
      </c>
    </row>
    <row r="141" spans="2:24">
      <c r="B141" s="19">
        <f t="shared" si="39"/>
        <v>2.8956054706470429</v>
      </c>
      <c r="C141" s="19">
        <f t="shared" si="40"/>
        <v>2.8956054706470429</v>
      </c>
      <c r="D141" s="21">
        <f t="shared" si="42"/>
        <v>1219.8372147214316</v>
      </c>
      <c r="E141" s="21">
        <f t="shared" si="43"/>
        <v>1221.3608229509409</v>
      </c>
      <c r="F141" s="21">
        <f t="shared" si="35"/>
        <v>1219.8372147214316</v>
      </c>
      <c r="G141" s="6">
        <f t="shared" si="36"/>
        <v>1.1919496214507919</v>
      </c>
      <c r="H141" s="22">
        <f t="shared" si="41"/>
        <v>674.26191023329682</v>
      </c>
      <c r="I141" s="22">
        <f t="shared" ref="I141:I163" si="46">I140</f>
        <v>0</v>
      </c>
      <c r="J141" s="1">
        <f t="shared" si="44"/>
        <v>0</v>
      </c>
      <c r="K141" s="21">
        <f t="shared" si="37"/>
        <v>1266.8517096783844</v>
      </c>
      <c r="L141" s="3">
        <v>0</v>
      </c>
      <c r="M141" s="7">
        <f t="shared" si="45"/>
        <v>11271.901739468613</v>
      </c>
      <c r="N141" s="16">
        <f t="shared" si="38"/>
        <v>10287270718.059376</v>
      </c>
      <c r="O141" s="12" t="s">
        <v>27</v>
      </c>
    </row>
    <row r="142" spans="2:24">
      <c r="B142" s="19">
        <f t="shared" si="39"/>
        <v>2.7986372508439916</v>
      </c>
      <c r="C142" s="19">
        <f t="shared" si="40"/>
        <v>2.7986372508439916</v>
      </c>
      <c r="D142" s="21">
        <f t="shared" si="42"/>
        <v>1209.346320999668</v>
      </c>
      <c r="E142" s="21">
        <f t="shared" si="43"/>
        <v>1210.7639606057253</v>
      </c>
      <c r="F142" s="21">
        <f t="shared" si="35"/>
        <v>1209.346320999668</v>
      </c>
      <c r="G142" s="6">
        <f t="shared" si="36"/>
        <v>1.2226424973034737</v>
      </c>
      <c r="H142" s="22">
        <f t="shared" si="41"/>
        <v>671.35624200334109</v>
      </c>
      <c r="I142" s="22">
        <f t="shared" si="46"/>
        <v>0</v>
      </c>
      <c r="J142" s="1">
        <f t="shared" si="44"/>
        <v>0</v>
      </c>
      <c r="K142" s="21">
        <f t="shared" si="37"/>
        <v>1265.8863510148167</v>
      </c>
      <c r="L142" s="3">
        <v>0</v>
      </c>
      <c r="M142" s="7">
        <f t="shared" si="45"/>
        <v>11271.901739468613</v>
      </c>
      <c r="N142" s="16">
        <f t="shared" si="38"/>
        <v>10552169433.013462</v>
      </c>
      <c r="O142" s="12" t="s">
        <v>28</v>
      </c>
    </row>
    <row r="143" spans="2:24">
      <c r="B143" s="19">
        <f t="shared" si="39"/>
        <v>2.7041140039613967</v>
      </c>
      <c r="C143" s="19">
        <f t="shared" si="40"/>
        <v>2.7041140039613967</v>
      </c>
      <c r="D143" s="21">
        <f t="shared" si="42"/>
        <v>1198.9603362151222</v>
      </c>
      <c r="E143" s="21">
        <f t="shared" si="43"/>
        <v>1200.2730668839617</v>
      </c>
      <c r="F143" s="21">
        <f t="shared" si="35"/>
        <v>1198.9603362151222</v>
      </c>
      <c r="G143" s="6">
        <f t="shared" si="36"/>
        <v>1.2545131807795622</v>
      </c>
      <c r="H143" s="22">
        <f t="shared" si="41"/>
        <v>668.46718914348298</v>
      </c>
      <c r="I143" s="22">
        <f t="shared" si="46"/>
        <v>0</v>
      </c>
      <c r="J143" s="1">
        <f t="shared" si="44"/>
        <v>0</v>
      </c>
      <c r="K143" s="21">
        <f t="shared" si="37"/>
        <v>1265.0212558626195</v>
      </c>
      <c r="L143" s="3">
        <v>0</v>
      </c>
      <c r="M143" s="7">
        <f t="shared" si="45"/>
        <v>11271.901739468613</v>
      </c>
      <c r="N143" s="16">
        <f t="shared" si="38"/>
        <v>10827233364.397612</v>
      </c>
      <c r="O143" s="12" t="s">
        <v>29</v>
      </c>
    </row>
    <row r="144" spans="2:24">
      <c r="B144" s="19">
        <f t="shared" si="39"/>
        <v>2.6120026154558413</v>
      </c>
      <c r="C144" s="19">
        <f t="shared" si="40"/>
        <v>2.6120026154558413</v>
      </c>
      <c r="D144" s="21">
        <f t="shared" si="42"/>
        <v>1188.6782112784217</v>
      </c>
      <c r="E144" s="21">
        <f t="shared" si="43"/>
        <v>1189.8870820994159</v>
      </c>
      <c r="F144" s="21">
        <f t="shared" si="35"/>
        <v>1188.6782112784217</v>
      </c>
      <c r="G144" s="6">
        <f t="shared" si="36"/>
        <v>1.2876152286570919</v>
      </c>
      <c r="H144" s="22">
        <f t="shared" si="41"/>
        <v>665.59467429741653</v>
      </c>
      <c r="I144" s="22">
        <f t="shared" si="46"/>
        <v>0</v>
      </c>
      <c r="J144" s="1">
        <f t="shared" si="44"/>
        <v>0</v>
      </c>
      <c r="K144" s="21">
        <f t="shared" si="37"/>
        <v>1264.2571556627904</v>
      </c>
      <c r="L144" s="3">
        <v>0</v>
      </c>
      <c r="M144" s="7">
        <f t="shared" si="45"/>
        <v>11271.901739468613</v>
      </c>
      <c r="N144" s="16">
        <f t="shared" si="38"/>
        <v>11112924740.702454</v>
      </c>
      <c r="O144" s="12" t="s">
        <v>30</v>
      </c>
    </row>
    <row r="145" spans="2:17">
      <c r="B145" s="19">
        <f t="shared" si="39"/>
        <v>2.5222695437574774</v>
      </c>
      <c r="C145" s="19">
        <f t="shared" si="40"/>
        <v>2.5222695437574774</v>
      </c>
      <c r="D145" s="21">
        <f t="shared" si="42"/>
        <v>1178.4989075910883</v>
      </c>
      <c r="E145" s="21">
        <f t="shared" si="43"/>
        <v>1179.6049571627154</v>
      </c>
      <c r="F145" s="21">
        <f t="shared" si="35"/>
        <v>1178.4989075910883</v>
      </c>
      <c r="G145" s="6">
        <f t="shared" si="36"/>
        <v>1.322005001809635</v>
      </c>
      <c r="H145" s="22">
        <f t="shared" si="41"/>
        <v>662.73862047557031</v>
      </c>
      <c r="I145" s="22">
        <f t="shared" si="46"/>
        <v>0</v>
      </c>
      <c r="J145" s="1">
        <f t="shared" si="44"/>
        <v>0</v>
      </c>
      <c r="K145" s="21">
        <f t="shared" si="37"/>
        <v>1263.5947847333123</v>
      </c>
      <c r="L145" s="3">
        <v>0</v>
      </c>
      <c r="M145" s="7">
        <f t="shared" si="45"/>
        <v>11271.901739468613</v>
      </c>
      <c r="N145" s="16">
        <f t="shared" si="38"/>
        <v>11409729991.516878</v>
      </c>
      <c r="O145" s="12" t="s">
        <v>31</v>
      </c>
    </row>
    <row r="146" spans="2:17">
      <c r="B146" s="19">
        <f t="shared" si="39"/>
        <v>2.4348808469688956</v>
      </c>
      <c r="C146" s="19">
        <f t="shared" si="40"/>
        <v>2.4348808469688956</v>
      </c>
      <c r="D146" s="21">
        <f t="shared" si="42"/>
        <v>1168.4213969406283</v>
      </c>
      <c r="E146" s="21">
        <f t="shared" si="43"/>
        <v>1169.425653475382</v>
      </c>
      <c r="F146" s="21">
        <f t="shared" si="35"/>
        <v>1168.4213969406283</v>
      </c>
      <c r="G146" s="6">
        <f t="shared" si="36"/>
        <v>1.3577418289701035</v>
      </c>
      <c r="H146" s="22">
        <f t="shared" si="41"/>
        <v>659.8989510527141</v>
      </c>
      <c r="I146" s="22">
        <f t="shared" si="46"/>
        <v>0</v>
      </c>
      <c r="J146" s="1">
        <f t="shared" si="44"/>
        <v>0</v>
      </c>
      <c r="K146" s="21">
        <f t="shared" si="37"/>
        <v>1263.0348802364415</v>
      </c>
      <c r="L146" s="3">
        <v>0</v>
      </c>
      <c r="M146" s="7">
        <f t="shared" si="45"/>
        <v>11271.901739468613</v>
      </c>
      <c r="N146" s="16">
        <f t="shared" si="38"/>
        <v>11718161160.912081</v>
      </c>
      <c r="O146" s="12" t="s">
        <v>127</v>
      </c>
    </row>
    <row r="147" spans="2:17">
      <c r="B147" s="19">
        <f t="shared" si="39"/>
        <v>2.3498022097305609</v>
      </c>
      <c r="C147" s="19">
        <f t="shared" si="40"/>
        <v>2.3498022097305609</v>
      </c>
      <c r="D147" s="21">
        <f t="shared" si="42"/>
        <v>1158.4446613966727</v>
      </c>
      <c r="E147" s="21">
        <f t="shared" si="43"/>
        <v>1159.348142824922</v>
      </c>
      <c r="F147" s="21">
        <f t="shared" si="35"/>
        <v>1158.4446613966727</v>
      </c>
      <c r="G147" s="6">
        <f t="shared" si="36"/>
        <v>1.3948881809821387</v>
      </c>
      <c r="H147" s="22">
        <f t="shared" si="41"/>
        <v>657.07558976557368</v>
      </c>
      <c r="I147" s="22">
        <f t="shared" si="46"/>
        <v>0</v>
      </c>
      <c r="J147" s="1">
        <f t="shared" si="44"/>
        <v>0</v>
      </c>
      <c r="K147" s="21">
        <f t="shared" si="37"/>
        <v>1262.5781821450869</v>
      </c>
      <c r="L147" s="3">
        <v>0</v>
      </c>
      <c r="M147" s="7">
        <f t="shared" si="45"/>
        <v>11271.901739468613</v>
      </c>
      <c r="N147" s="16">
        <f t="shared" si="38"/>
        <v>12038757411.340029</v>
      </c>
      <c r="O147" s="12"/>
    </row>
    <row r="148" spans="2:17">
      <c r="B148" s="19">
        <f t="shared" si="39"/>
        <v>2.2669989702193734</v>
      </c>
      <c r="C148" s="19">
        <f t="shared" si="40"/>
        <v>2.2669989702193734</v>
      </c>
      <c r="D148" s="21">
        <f t="shared" si="42"/>
        <v>1148.5676932081567</v>
      </c>
      <c r="E148" s="21">
        <f t="shared" si="43"/>
        <v>1149.3714072809664</v>
      </c>
      <c r="F148" s="21">
        <f t="shared" si="35"/>
        <v>1148.5676932081567</v>
      </c>
      <c r="G148" s="6">
        <f t="shared" si="36"/>
        <v>1.4335098562662059</v>
      </c>
      <c r="H148" s="22">
        <f t="shared" si="41"/>
        <v>654.26846071045452</v>
      </c>
      <c r="I148" s="22">
        <f t="shared" si="46"/>
        <v>0</v>
      </c>
      <c r="J148" s="1">
        <f t="shared" si="44"/>
        <v>0</v>
      </c>
      <c r="K148" s="21">
        <f t="shared" si="37"/>
        <v>1262.2254332082807</v>
      </c>
      <c r="L148" s="3">
        <v>0</v>
      </c>
      <c r="M148" s="7">
        <f t="shared" si="45"/>
        <v>11271.901739468613</v>
      </c>
      <c r="N148" s="16">
        <f t="shared" si="38"/>
        <v>12372086624.321857</v>
      </c>
      <c r="O148" s="12"/>
    </row>
    <row r="149" spans="2:17">
      <c r="B149" s="19">
        <f t="shared" si="39"/>
        <v>2.1864361472467264</v>
      </c>
      <c r="C149" s="19">
        <f t="shared" si="40"/>
        <v>2.1864361472467264</v>
      </c>
      <c r="D149" s="21">
        <f t="shared" si="42"/>
        <v>1138.7894947015259</v>
      </c>
      <c r="E149" s="21">
        <f t="shared" si="43"/>
        <v>1139.4944390924504</v>
      </c>
      <c r="F149" s="21">
        <f t="shared" si="35"/>
        <v>1138.7894947015259</v>
      </c>
      <c r="G149" s="6">
        <f t="shared" si="36"/>
        <v>1.4736761782815488</v>
      </c>
      <c r="H149" s="22">
        <f t="shared" si="41"/>
        <v>651.47748834087281</v>
      </c>
      <c r="I149" s="22">
        <f t="shared" si="46"/>
        <v>0</v>
      </c>
      <c r="J149" s="1">
        <f t="shared" si="44"/>
        <v>0</v>
      </c>
      <c r="K149" s="21">
        <f t="shared" si="37"/>
        <v>1261.9773789157255</v>
      </c>
      <c r="L149" s="3">
        <v>0</v>
      </c>
      <c r="M149" s="7">
        <f t="shared" si="45"/>
        <v>11271.901739468613</v>
      </c>
      <c r="N149" s="16">
        <f t="shared" si="38"/>
        <v>12718747104.668039</v>
      </c>
      <c r="O149" s="12"/>
    </row>
    <row r="150" spans="2:17">
      <c r="B150" s="19">
        <f t="shared" si="39"/>
        <v>2.1080784674222306</v>
      </c>
      <c r="C150" s="19">
        <f t="shared" si="40"/>
        <v>2.1080784674222306</v>
      </c>
      <c r="D150" s="21">
        <f t="shared" si="42"/>
        <v>1129.1090781799614</v>
      </c>
      <c r="E150" s="21">
        <f t="shared" si="43"/>
        <v>1129.7162405858196</v>
      </c>
      <c r="F150" s="21">
        <f t="shared" si="35"/>
        <v>1129.1090781799614</v>
      </c>
      <c r="G150" s="6">
        <f t="shared" si="36"/>
        <v>1.5154602058235109</v>
      </c>
      <c r="H150" s="22">
        <f t="shared" si="41"/>
        <v>648.70259746519571</v>
      </c>
      <c r="I150" s="22">
        <f t="shared" si="46"/>
        <v>0</v>
      </c>
      <c r="J150" s="1">
        <f t="shared" si="44"/>
        <v>0</v>
      </c>
      <c r="K150" s="21">
        <f t="shared" si="37"/>
        <v>1261.834767461416</v>
      </c>
      <c r="L150" s="3">
        <v>0</v>
      </c>
      <c r="M150" s="7">
        <f t="shared" si="45"/>
        <v>11271.901739468613</v>
      </c>
      <c r="N150" s="16">
        <f t="shared" si="38"/>
        <v>13079369395.475788</v>
      </c>
      <c r="O150" s="12"/>
    </row>
    <row r="151" spans="2:17">
      <c r="B151" s="19">
        <f t="shared" si="39"/>
        <v>2.0318903923491636</v>
      </c>
      <c r="C151" s="19">
        <f t="shared" si="40"/>
        <v>2.0318903923491636</v>
      </c>
      <c r="D151" s="21">
        <f t="shared" si="42"/>
        <v>1119.5254658236126</v>
      </c>
      <c r="E151" s="21">
        <f t="shared" si="43"/>
        <v>1120.0358240642552</v>
      </c>
      <c r="F151" s="21">
        <f t="shared" si="35"/>
        <v>1119.5254658236126</v>
      </c>
      <c r="G151" s="6">
        <f t="shared" si="36"/>
        <v>1.5589389570587082</v>
      </c>
      <c r="H151" s="22">
        <f t="shared" si="41"/>
        <v>645.94371324428857</v>
      </c>
      <c r="I151" s="22">
        <f t="shared" si="46"/>
        <v>0</v>
      </c>
      <c r="J151" s="1">
        <f t="shared" si="44"/>
        <v>0</v>
      </c>
      <c r="K151" s="21">
        <f t="shared" si="37"/>
        <v>1261.7983497063262</v>
      </c>
      <c r="L151" s="3">
        <v>0</v>
      </c>
      <c r="M151" s="7">
        <f t="shared" si="45"/>
        <v>11271.901739468613</v>
      </c>
      <c r="N151" s="16">
        <f t="shared" si="38"/>
        <v>13454618211.692722</v>
      </c>
      <c r="O151" s="12"/>
    </row>
    <row r="152" spans="2:17">
      <c r="B152" s="19">
        <f t="shared" si="39"/>
        <v>1.9578361458177087</v>
      </c>
      <c r="C152" s="19">
        <f t="shared" si="40"/>
        <v>1.9578361458177087</v>
      </c>
      <c r="D152" s="21">
        <f t="shared" si="42"/>
        <v>1110.0376895908273</v>
      </c>
      <c r="E152" s="21">
        <f t="shared" si="43"/>
        <v>1110.4522117079064</v>
      </c>
      <c r="F152" s="21">
        <f t="shared" si="35"/>
        <v>1110.0376895908273</v>
      </c>
      <c r="G152" s="6">
        <f t="shared" si="36"/>
        <v>1.6041936482685142</v>
      </c>
      <c r="H152" s="22">
        <f t="shared" si="41"/>
        <v>643.200761189172</v>
      </c>
      <c r="I152" s="22">
        <f t="shared" si="46"/>
        <v>0</v>
      </c>
      <c r="J152" s="1">
        <f t="shared" si="44"/>
        <v>0</v>
      </c>
      <c r="K152" s="21">
        <f t="shared" si="37"/>
        <v>1261.868879140156</v>
      </c>
      <c r="L152" s="3">
        <v>0</v>
      </c>
      <c r="M152" s="7">
        <f t="shared" si="45"/>
        <v>11271.901739468613</v>
      </c>
      <c r="N152" s="16">
        <f t="shared" si="38"/>
        <v>13845194500.622461</v>
      </c>
      <c r="O152" s="12"/>
    </row>
    <row r="153" spans="2:17">
      <c r="B153" s="19">
        <f t="shared" si="39"/>
        <v>1.8858797409620018</v>
      </c>
      <c r="C153" s="19">
        <f t="shared" si="40"/>
        <v>1.8858797409620018</v>
      </c>
      <c r="D153" s="21">
        <f t="shared" si="42"/>
        <v>1100.64479112037</v>
      </c>
      <c r="E153" s="21">
        <f t="shared" si="43"/>
        <v>1100.964435475121</v>
      </c>
      <c r="F153" s="21">
        <f t="shared" si="35"/>
        <v>1100.64479112037</v>
      </c>
      <c r="G153" s="6">
        <f t="shared" si="36"/>
        <v>1.6513099483448126</v>
      </c>
      <c r="H153" s="22">
        <f t="shared" si="41"/>
        <v>640.47366715868645</v>
      </c>
      <c r="I153" s="22">
        <f t="shared" si="46"/>
        <v>0</v>
      </c>
      <c r="J153" s="1">
        <f t="shared" si="44"/>
        <v>0</v>
      </c>
      <c r="K153" s="21">
        <f t="shared" si="37"/>
        <v>1262.0471118421297</v>
      </c>
      <c r="L153" s="3">
        <v>0</v>
      </c>
      <c r="M153" s="7">
        <f t="shared" si="45"/>
        <v>11271.901739468613</v>
      </c>
      <c r="N153" s="16">
        <f t="shared" si="38"/>
        <v>14251837638.382133</v>
      </c>
      <c r="O153" s="12"/>
    </row>
    <row r="154" spans="2:17">
      <c r="B154" s="19">
        <f t="shared" si="39"/>
        <v>1.8159850073471553</v>
      </c>
      <c r="C154" s="19">
        <f t="shared" si="40"/>
        <v>1.8159850073471553</v>
      </c>
      <c r="D154" s="21">
        <f t="shared" si="42"/>
        <v>1091.3458216346171</v>
      </c>
      <c r="E154" s="21">
        <f t="shared" si="43"/>
        <v>1091.5715370046637</v>
      </c>
      <c r="F154" s="21">
        <f t="shared" si="35"/>
        <v>1091.3458216346171</v>
      </c>
      <c r="G154" s="6">
        <f t="shared" si="36"/>
        <v>1.7003782501612905</v>
      </c>
      <c r="H154" s="22">
        <f t="shared" si="41"/>
        <v>637.76235735716466</v>
      </c>
      <c r="I154" s="22">
        <f t="shared" si="46"/>
        <v>0</v>
      </c>
      <c r="J154" s="1">
        <f t="shared" si="44"/>
        <v>0</v>
      </c>
      <c r="K154" s="21">
        <f t="shared" si="37"/>
        <v>1262.3338064408395</v>
      </c>
      <c r="L154" s="3">
        <v>0</v>
      </c>
      <c r="M154" s="7">
        <f t="shared" si="45"/>
        <v>11271.901739468613</v>
      </c>
      <c r="N154" s="16">
        <f t="shared" si="38"/>
        <v>14675327772.006371</v>
      </c>
      <c r="O154" s="77"/>
      <c r="P154" s="2"/>
    </row>
    <row r="155" spans="2:17">
      <c r="B155" s="19">
        <f t="shared" si="39"/>
        <v>1.7481156179525432</v>
      </c>
      <c r="C155" s="19">
        <f t="shared" si="40"/>
        <v>1.7481156179525432</v>
      </c>
      <c r="D155" s="21">
        <f t="shared" si="42"/>
        <v>1082.1398418437218</v>
      </c>
      <c r="E155" s="21">
        <f t="shared" si="43"/>
        <v>1082.2725675189108</v>
      </c>
      <c r="F155" s="21">
        <f t="shared" si="35"/>
        <v>1082.1398418437218</v>
      </c>
      <c r="G155" s="6">
        <f t="shared" si="36"/>
        <v>1.7514939600293766</v>
      </c>
      <c r="H155" s="22">
        <f t="shared" si="41"/>
        <v>635.06675833211352</v>
      </c>
      <c r="I155" s="22">
        <f t="shared" si="46"/>
        <v>0</v>
      </c>
      <c r="J155" s="1">
        <f t="shared" si="44"/>
        <v>0</v>
      </c>
      <c r="K155" s="21">
        <f t="shared" si="37"/>
        <v>1262.7297240731334</v>
      </c>
      <c r="L155" s="3">
        <v>0</v>
      </c>
      <c r="M155" s="7">
        <f t="shared" si="45"/>
        <v>11271.901739468613</v>
      </c>
      <c r="N155" s="16">
        <f t="shared" si="38"/>
        <v>15116488317.633078</v>
      </c>
      <c r="O155" s="77"/>
      <c r="P155" s="2"/>
      <c r="Q155" s="2"/>
    </row>
    <row r="156" spans="2:17">
      <c r="B156" s="19">
        <f t="shared" si="39"/>
        <v>1.6822351160178881</v>
      </c>
      <c r="C156" s="19">
        <f t="shared" si="40"/>
        <v>1.6822351160178881</v>
      </c>
      <c r="D156" s="21">
        <f t="shared" si="42"/>
        <v>1073.0259218507354</v>
      </c>
      <c r="E156" s="21">
        <f t="shared" si="43"/>
        <v>1073.0665877280155</v>
      </c>
      <c r="F156" s="21">
        <f t="shared" si="35"/>
        <v>1073.0259218507354</v>
      </c>
      <c r="G156" s="6">
        <f t="shared" si="36"/>
        <v>1.804757806540626</v>
      </c>
      <c r="H156" s="22">
        <f t="shared" si="41"/>
        <v>632.38679697190332</v>
      </c>
      <c r="I156" s="22">
        <f t="shared" si="46"/>
        <v>0</v>
      </c>
      <c r="J156" s="1">
        <f t="shared" si="44"/>
        <v>0</v>
      </c>
      <c r="K156" s="21">
        <f t="shared" si="37"/>
        <v>1263.2356283420302</v>
      </c>
      <c r="L156" s="3">
        <v>0</v>
      </c>
      <c r="M156" s="7">
        <f t="shared" si="45"/>
        <v>11271.901739468613</v>
      </c>
      <c r="N156" s="16">
        <f t="shared" si="38"/>
        <v>15576188626.006393</v>
      </c>
      <c r="O156" s="13"/>
      <c r="P156" s="1"/>
      <c r="Q156" s="1"/>
    </row>
    <row r="157" spans="2:17">
      <c r="B157" s="19">
        <f t="shared" si="39"/>
        <v>1.6183069417189413</v>
      </c>
      <c r="C157" s="19">
        <f t="shared" si="40"/>
        <v>1.6183069417189413</v>
      </c>
      <c r="D157" s="21">
        <f t="shared" si="42"/>
        <v>1064.0031410576789</v>
      </c>
      <c r="E157" s="21">
        <f t="shared" si="43"/>
        <v>1063.9526677350291</v>
      </c>
      <c r="F157" s="21">
        <f t="shared" si="35"/>
        <v>1064.0031410576789</v>
      </c>
      <c r="G157" s="6">
        <f t="shared" si="36"/>
        <v>1.8602761701977133</v>
      </c>
      <c r="H157" s="22">
        <f t="shared" si="41"/>
        <v>629.7224005034667</v>
      </c>
      <c r="I157" s="22">
        <f t="shared" si="46"/>
        <v>0</v>
      </c>
      <c r="J157" s="1">
        <f t="shared" si="44"/>
        <v>0</v>
      </c>
      <c r="K157" s="21">
        <f t="shared" si="37"/>
        <v>1263.8522852736673</v>
      </c>
      <c r="L157" s="3">
        <v>0</v>
      </c>
      <c r="M157" s="7">
        <f t="shared" si="45"/>
        <v>11271.901739468613</v>
      </c>
      <c r="N157" s="16">
        <f t="shared" si="38"/>
        <v>16055346827.3983</v>
      </c>
      <c r="O157" s="12"/>
    </row>
    <row r="158" spans="2:17">
      <c r="B158" s="19">
        <f t="shared" si="39"/>
        <v>1.5562944586399452</v>
      </c>
      <c r="C158" s="19">
        <f t="shared" si="40"/>
        <v>1.5562944586399452</v>
      </c>
      <c r="D158" s="21">
        <f t="shared" si="42"/>
        <v>1055.0705880725529</v>
      </c>
      <c r="E158" s="21">
        <f t="shared" si="43"/>
        <v>1054.9298869419727</v>
      </c>
      <c r="F158" s="21">
        <f t="shared" si="35"/>
        <v>1055.0705880725529</v>
      </c>
      <c r="G158" s="6">
        <f t="shared" si="36"/>
        <v>1.9181614353446743</v>
      </c>
      <c r="H158" s="22">
        <f t="shared" si="41"/>
        <v>627.07349649000378</v>
      </c>
      <c r="I158" s="22">
        <f t="shared" si="46"/>
        <v>0</v>
      </c>
      <c r="J158" s="1">
        <f t="shared" si="44"/>
        <v>0</v>
      </c>
      <c r="K158" s="21">
        <f t="shared" si="37"/>
        <v>1264.5804632732704</v>
      </c>
      <c r="L158" s="3">
        <v>0</v>
      </c>
      <c r="M158" s="7">
        <f t="shared" si="45"/>
        <v>11271.901739468613</v>
      </c>
      <c r="N158" s="16">
        <f t="shared" si="38"/>
        <v>16554932868.986734</v>
      </c>
      <c r="O158" s="12"/>
    </row>
    <row r="159" spans="2:17">
      <c r="B159" s="19">
        <f t="shared" si="39"/>
        <v>1.4961609800104487</v>
      </c>
      <c r="C159" s="19">
        <f t="shared" si="40"/>
        <v>1.4961609800104487</v>
      </c>
      <c r="D159" s="21">
        <f t="shared" si="42"/>
        <v>1046.2273606172782</v>
      </c>
      <c r="E159" s="21">
        <f t="shared" si="43"/>
        <v>1045.9973339568467</v>
      </c>
      <c r="F159" s="21">
        <f t="shared" si="35"/>
        <v>1046.2273606172782</v>
      </c>
      <c r="G159" s="6">
        <f t="shared" si="36"/>
        <v>1.9785323660245284</v>
      </c>
      <c r="H159" s="22">
        <f t="shared" si="41"/>
        <v>624.44001282869897</v>
      </c>
      <c r="I159" s="22">
        <f t="shared" si="46"/>
        <v>0</v>
      </c>
      <c r="J159" s="1">
        <f t="shared" si="44"/>
        <v>0</v>
      </c>
      <c r="K159" s="21">
        <f t="shared" si="37"/>
        <v>1265.4209330801375</v>
      </c>
      <c r="L159" s="3">
        <v>0</v>
      </c>
      <c r="M159" s="7">
        <f t="shared" si="45"/>
        <v>11271.901739468613</v>
      </c>
      <c r="N159" s="16">
        <f t="shared" si="38"/>
        <v>17075971758.741938</v>
      </c>
      <c r="O159" s="12"/>
    </row>
    <row r="160" spans="2:17">
      <c r="B160" s="19">
        <f t="shared" si="39"/>
        <v>1.4378697946745596</v>
      </c>
      <c r="C160" s="19">
        <f t="shared" si="40"/>
        <v>1.4378697946745596</v>
      </c>
      <c r="D160" s="21">
        <f t="shared" si="42"/>
        <v>1037.4725654365564</v>
      </c>
      <c r="E160" s="21">
        <f t="shared" si="43"/>
        <v>1037.154106501572</v>
      </c>
      <c r="F160" s="21">
        <f t="shared" si="35"/>
        <v>1037.4725654365564</v>
      </c>
      <c r="G160" s="6">
        <f t="shared" si="36"/>
        <v>2.0415145075195302</v>
      </c>
      <c r="H160" s="22">
        <f t="shared" si="41"/>
        <v>621.82187774844306</v>
      </c>
      <c r="I160" s="22">
        <f t="shared" si="46"/>
        <v>0</v>
      </c>
      <c r="J160" s="1">
        <f t="shared" si="44"/>
        <v>0</v>
      </c>
      <c r="K160" s="21">
        <f t="shared" si="37"/>
        <v>1266.3744677216368</v>
      </c>
      <c r="L160" s="3">
        <v>0</v>
      </c>
      <c r="M160" s="7">
        <f t="shared" si="45"/>
        <v>11271.901739468613</v>
      </c>
      <c r="N160" s="16">
        <f t="shared" si="38"/>
        <v>17619547030.969963</v>
      </c>
      <c r="O160" s="12"/>
    </row>
    <row r="161" spans="2:20">
      <c r="B161" s="19">
        <f t="shared" si="39"/>
        <v>1.381384192761256</v>
      </c>
      <c r="C161" s="19">
        <f t="shared" si="40"/>
        <v>1.381384192761256</v>
      </c>
      <c r="D161" s="21">
        <f t="shared" si="42"/>
        <v>1028.8053182076414</v>
      </c>
      <c r="E161" s="21">
        <f t="shared" si="43"/>
        <v>1028.3993113208501</v>
      </c>
      <c r="F161" s="21">
        <f t="shared" si="35"/>
        <v>1028.8053182076414</v>
      </c>
      <c r="G161" s="6">
        <f t="shared" si="36"/>
        <v>2.1072406154670222</v>
      </c>
      <c r="H161" s="22">
        <f t="shared" si="41"/>
        <v>619.2190198075657</v>
      </c>
      <c r="I161" s="22">
        <f t="shared" si="46"/>
        <v>0</v>
      </c>
      <c r="J161" s="1">
        <f t="shared" si="44"/>
        <v>0</v>
      </c>
      <c r="K161" s="21">
        <f t="shared" si="37"/>
        <v>1267.4418424662117</v>
      </c>
      <c r="L161" s="3">
        <v>0</v>
      </c>
      <c r="M161" s="7">
        <f t="shared" si="45"/>
        <v>11271.901739468613</v>
      </c>
      <c r="N161" s="16">
        <f t="shared" si="38"/>
        <v>18186804449.850864</v>
      </c>
      <c r="O161" s="12"/>
    </row>
    <row r="162" spans="2:20">
      <c r="B162" s="19">
        <f t="shared" si="39"/>
        <v>1.3266674910249905</v>
      </c>
      <c r="C162" s="19">
        <f t="shared" si="40"/>
        <v>1.3266674910249905</v>
      </c>
      <c r="D162" s="21">
        <f t="shared" si="42"/>
        <v>1020.2247434510159</v>
      </c>
      <c r="E162" s="21">
        <f t="shared" si="43"/>
        <v>1019.7320640919352</v>
      </c>
      <c r="F162" s="21">
        <f t="shared" si="35"/>
        <v>1020.2247434510159</v>
      </c>
      <c r="G162" s="6">
        <f t="shared" si="36"/>
        <v>2.1758511145930322</v>
      </c>
      <c r="H162" s="22">
        <f t="shared" si="41"/>
        <v>616.63136789157659</v>
      </c>
      <c r="I162" s="22">
        <f t="shared" si="46"/>
        <v>0</v>
      </c>
      <c r="J162" s="1">
        <f t="shared" si="44"/>
        <v>0</v>
      </c>
      <c r="K162" s="21">
        <f t="shared" si="37"/>
        <v>1268.6238347753879</v>
      </c>
      <c r="L162" s="3">
        <v>0</v>
      </c>
      <c r="M162" s="7">
        <f t="shared" si="45"/>
        <v>11271.901739468613</v>
      </c>
      <c r="N162" s="16">
        <f t="shared" si="38"/>
        <v>18778955968.596558</v>
      </c>
      <c r="O162" s="12"/>
    </row>
    <row r="163" spans="2:20">
      <c r="B163" s="19">
        <f t="shared" si="39"/>
        <v>1.2736830578265042</v>
      </c>
      <c r="C163" s="19">
        <f t="shared" si="40"/>
        <v>1.2736830578265042</v>
      </c>
      <c r="D163" s="21">
        <f t="shared" si="42"/>
        <v>1011.7299744419565</v>
      </c>
      <c r="E163" s="21">
        <f t="shared" si="43"/>
        <v>1011.1514893353096</v>
      </c>
      <c r="F163" s="21">
        <f t="shared" si="35"/>
        <v>1011.7299744419565</v>
      </c>
      <c r="G163" s="6">
        <f t="shared" si="36"/>
        <v>2.247494589267367</v>
      </c>
      <c r="H163" s="22">
        <f t="shared" si="41"/>
        <v>614.05885121091399</v>
      </c>
      <c r="I163" s="22">
        <f t="shared" si="46"/>
        <v>0</v>
      </c>
      <c r="J163" s="1">
        <f t="shared" si="44"/>
        <v>0</v>
      </c>
      <c r="K163" s="21">
        <f t="shared" si="37"/>
        <v>1269.9212242547762</v>
      </c>
      <c r="L163" s="3">
        <v>0</v>
      </c>
      <c r="M163" s="7">
        <f t="shared" si="45"/>
        <v>11271.901739468613</v>
      </c>
      <c r="N163" s="16">
        <f t="shared" si="38"/>
        <v>19397283963.248085</v>
      </c>
      <c r="O163" s="12"/>
    </row>
    <row r="164" spans="2:20">
      <c r="B164" s="17"/>
      <c r="C164" s="17"/>
      <c r="D164" s="1"/>
      <c r="E164" s="1"/>
      <c r="F164" s="1"/>
      <c r="G164" s="1"/>
      <c r="H164" s="22"/>
      <c r="I164" s="22"/>
      <c r="J164" s="1"/>
      <c r="K164" s="22"/>
      <c r="L164" s="1"/>
      <c r="M164" s="15">
        <f>SUM(M138:M163)</f>
        <v>281797.54348671541</v>
      </c>
      <c r="N164" s="15"/>
      <c r="O164" s="83" t="s">
        <v>124</v>
      </c>
    </row>
    <row r="165" spans="2:20">
      <c r="B165" s="20" t="s">
        <v>89</v>
      </c>
      <c r="C165" s="18" t="s">
        <v>118</v>
      </c>
      <c r="D165" s="14">
        <f>$D$4</f>
        <v>1.3</v>
      </c>
      <c r="E165" s="4" t="s">
        <v>119</v>
      </c>
      <c r="F165" s="4">
        <f>C$4*D165/(D165-1)</f>
        <v>1242.3218390804595</v>
      </c>
      <c r="G165" s="6"/>
      <c r="H165" s="21"/>
      <c r="I165" s="22"/>
      <c r="J165" s="1"/>
      <c r="K165" s="22"/>
      <c r="M165" s="3"/>
      <c r="O165" s="12"/>
      <c r="P165" s="76"/>
      <c r="Q165" s="76"/>
      <c r="R165" s="76"/>
      <c r="S165" s="76"/>
      <c r="T165" s="76"/>
    </row>
    <row r="166" spans="2:20">
      <c r="B166" s="17" t="s">
        <v>5</v>
      </c>
      <c r="C166" s="17" t="s">
        <v>121</v>
      </c>
      <c r="D166" t="s">
        <v>41</v>
      </c>
      <c r="E166" t="s">
        <v>123</v>
      </c>
      <c r="F166" t="s">
        <v>143</v>
      </c>
      <c r="G166" s="1" t="s">
        <v>15</v>
      </c>
      <c r="H166" s="22" t="s">
        <v>46</v>
      </c>
      <c r="I166" s="21" t="s">
        <v>47</v>
      </c>
      <c r="J166" s="6" t="s">
        <v>115</v>
      </c>
      <c r="K166" s="22" t="s">
        <v>98</v>
      </c>
      <c r="L166" s="4" t="s">
        <v>45</v>
      </c>
      <c r="M166" s="10" t="s">
        <v>44</v>
      </c>
      <c r="N166" s="10" t="s">
        <v>48</v>
      </c>
      <c r="O166" s="12"/>
      <c r="P166" s="76"/>
      <c r="Q166" s="76"/>
      <c r="R166" s="76"/>
      <c r="S166" s="76"/>
      <c r="T166" s="76"/>
    </row>
    <row r="167" spans="2:20">
      <c r="B167" s="17">
        <f>B163</f>
        <v>1.2736830578265042</v>
      </c>
      <c r="C167" s="17">
        <f>C163</f>
        <v>1.2736830578265042</v>
      </c>
      <c r="D167" s="21">
        <f>D163</f>
        <v>1011.7299744419565</v>
      </c>
      <c r="E167" s="21">
        <f>E163</f>
        <v>1011.1514893353096</v>
      </c>
      <c r="F167" s="21">
        <f t="shared" ref="F167:F192" si="47">(E167*(1-$K$7)+$K$7*$F$12)*($I$8&lt;&gt;0)+E167*($I$8=0)</f>
        <v>1011.1514893353096</v>
      </c>
      <c r="G167" s="6">
        <f t="shared" ref="G167:G192" si="48">($C$4*D167)/(101325*B167)</f>
        <v>2.247494589267367</v>
      </c>
      <c r="H167" s="22">
        <f>H163</f>
        <v>614.05885121091399</v>
      </c>
      <c r="I167" s="22">
        <f>I163</f>
        <v>0</v>
      </c>
      <c r="J167" s="1">
        <f>J163</f>
        <v>0</v>
      </c>
      <c r="K167" s="21">
        <f t="shared" ref="K167:K192" si="49">$F$165*LN(D167/$G$4)-$C$4*LN(B167/$H$4)</f>
        <v>1269.9212242547762</v>
      </c>
      <c r="L167" s="3">
        <v>0</v>
      </c>
      <c r="M167">
        <v>0</v>
      </c>
      <c r="N167" s="16">
        <f t="shared" ref="N167:N192" si="50">$B$17*G167/(I167+0.0000000001)</f>
        <v>19397283963.248085</v>
      </c>
      <c r="O167" s="77" t="s">
        <v>78</v>
      </c>
      <c r="P167" s="76"/>
      <c r="Q167" s="76"/>
      <c r="R167" s="76"/>
      <c r="S167" s="76"/>
      <c r="T167" s="76"/>
    </row>
    <row r="168" spans="2:20">
      <c r="B168" s="19">
        <f>C168/((1+((D$165-1)/2)*J168^2)^(D$165/(D$165-1)))</f>
        <v>1.2736830578265042</v>
      </c>
      <c r="C168" s="19">
        <f t="shared" ref="C168:C192" si="51">C167*(1-((1-E168/F167)/$F$11))^($D$165/($D$165-1))</f>
        <v>1.2736830578265042</v>
      </c>
      <c r="D168" s="21">
        <f>F168/(1+((D$165-1)/2)*J168^2)</f>
        <v>1011.1514893353096</v>
      </c>
      <c r="E168" s="21">
        <f>F167-M168/(F$165)</f>
        <v>1011.1514893353096</v>
      </c>
      <c r="F168" s="21">
        <f t="shared" si="47"/>
        <v>1011.1514893353096</v>
      </c>
      <c r="G168" s="6">
        <f t="shared" si="48"/>
        <v>2.246209520938856</v>
      </c>
      <c r="H168" s="22">
        <f t="shared" ref="H168:H192" si="52">SQRT($D$165*$C$4*D168)</f>
        <v>613.88327338835052</v>
      </c>
      <c r="I168" s="22">
        <f>I167</f>
        <v>0</v>
      </c>
      <c r="J168" s="1">
        <f>J167</f>
        <v>0</v>
      </c>
      <c r="K168" s="21">
        <f t="shared" si="49"/>
        <v>1269.2106886015215</v>
      </c>
      <c r="L168" s="3">
        <v>0</v>
      </c>
      <c r="M168" s="7">
        <f t="shared" ref="M168:M192" si="53">-($I$8*M$338)/25</f>
        <v>0</v>
      </c>
      <c r="N168" s="16">
        <f t="shared" si="50"/>
        <v>19386193019.848557</v>
      </c>
      <c r="O168" s="12" t="s">
        <v>39</v>
      </c>
      <c r="P168" s="76"/>
      <c r="Q168" s="76"/>
      <c r="R168" s="76"/>
      <c r="S168" s="76"/>
      <c r="T168" s="76"/>
    </row>
    <row r="169" spans="2:20">
      <c r="B169" s="19">
        <f t="shared" ref="B169:B192" si="54">C169/((1+((D$165-1)/2)*J169^2)^(D$165/(D$165-1)))</f>
        <v>1.2736830578265042</v>
      </c>
      <c r="C169" s="19">
        <f t="shared" si="51"/>
        <v>1.2736830578265042</v>
      </c>
      <c r="D169" s="21">
        <f t="shared" ref="D169:D192" si="55">F169/(1+((D$165-1)/2)*J169^2)</f>
        <v>1011.1514893353096</v>
      </c>
      <c r="E169" s="21">
        <f t="shared" ref="E169:E192" si="56">F168-M169/(F$165)</f>
        <v>1011.1514893353096</v>
      </c>
      <c r="F169" s="21">
        <f t="shared" si="47"/>
        <v>1011.1514893353096</v>
      </c>
      <c r="G169" s="6">
        <f t="shared" si="48"/>
        <v>2.246209520938856</v>
      </c>
      <c r="H169" s="22">
        <f t="shared" si="52"/>
        <v>613.88327338835052</v>
      </c>
      <c r="I169" s="22">
        <f>I168</f>
        <v>0</v>
      </c>
      <c r="J169" s="1">
        <f t="shared" ref="J169:J192" si="57">J168</f>
        <v>0</v>
      </c>
      <c r="K169" s="21">
        <f t="shared" si="49"/>
        <v>1269.2106886015215</v>
      </c>
      <c r="L169" s="3">
        <v>0</v>
      </c>
      <c r="M169" s="7">
        <f t="shared" si="53"/>
        <v>0</v>
      </c>
      <c r="N169" s="16">
        <f t="shared" si="50"/>
        <v>19386193019.848557</v>
      </c>
      <c r="O169" s="12" t="s">
        <v>76</v>
      </c>
      <c r="P169" s="76"/>
      <c r="Q169" s="76"/>
      <c r="R169" s="76"/>
      <c r="S169" s="76"/>
      <c r="T169" s="76"/>
    </row>
    <row r="170" spans="2:20">
      <c r="B170" s="19">
        <f t="shared" si="54"/>
        <v>1.2736830578265042</v>
      </c>
      <c r="C170" s="19">
        <f t="shared" si="51"/>
        <v>1.2736830578265042</v>
      </c>
      <c r="D170" s="21">
        <f t="shared" si="55"/>
        <v>1011.1514893353096</v>
      </c>
      <c r="E170" s="21">
        <f t="shared" si="56"/>
        <v>1011.1514893353096</v>
      </c>
      <c r="F170" s="21">
        <f t="shared" si="47"/>
        <v>1011.1514893353096</v>
      </c>
      <c r="G170" s="6">
        <f t="shared" si="48"/>
        <v>2.246209520938856</v>
      </c>
      <c r="H170" s="22">
        <f t="shared" si="52"/>
        <v>613.88327338835052</v>
      </c>
      <c r="I170" s="22">
        <f t="shared" ref="I170:I192" si="58">I169</f>
        <v>0</v>
      </c>
      <c r="J170" s="1">
        <f t="shared" si="57"/>
        <v>0</v>
      </c>
      <c r="K170" s="21">
        <f t="shared" si="49"/>
        <v>1269.2106886015215</v>
      </c>
      <c r="L170" s="3">
        <v>0</v>
      </c>
      <c r="M170" s="7">
        <f t="shared" si="53"/>
        <v>0</v>
      </c>
      <c r="N170" s="16">
        <f t="shared" si="50"/>
        <v>19386193019.848557</v>
      </c>
      <c r="O170" s="12" t="s">
        <v>27</v>
      </c>
      <c r="P170" s="76"/>
      <c r="Q170" s="76"/>
      <c r="R170" s="76"/>
      <c r="S170" s="76"/>
      <c r="T170" s="76"/>
    </row>
    <row r="171" spans="2:20">
      <c r="B171" s="19">
        <f t="shared" si="54"/>
        <v>1.2736830578265042</v>
      </c>
      <c r="C171" s="19">
        <f t="shared" si="51"/>
        <v>1.2736830578265042</v>
      </c>
      <c r="D171" s="21">
        <f t="shared" si="55"/>
        <v>1011.1514893353096</v>
      </c>
      <c r="E171" s="21">
        <f t="shared" si="56"/>
        <v>1011.1514893353096</v>
      </c>
      <c r="F171" s="21">
        <f t="shared" si="47"/>
        <v>1011.1514893353096</v>
      </c>
      <c r="G171" s="6">
        <f t="shared" si="48"/>
        <v>2.246209520938856</v>
      </c>
      <c r="H171" s="22">
        <f t="shared" si="52"/>
        <v>613.88327338835052</v>
      </c>
      <c r="I171" s="22">
        <f t="shared" si="58"/>
        <v>0</v>
      </c>
      <c r="J171" s="1">
        <f t="shared" si="57"/>
        <v>0</v>
      </c>
      <c r="K171" s="21">
        <f t="shared" si="49"/>
        <v>1269.2106886015215</v>
      </c>
      <c r="L171" s="3">
        <v>0</v>
      </c>
      <c r="M171" s="7">
        <f t="shared" si="53"/>
        <v>0</v>
      </c>
      <c r="N171" s="16">
        <f t="shared" si="50"/>
        <v>19386193019.848557</v>
      </c>
      <c r="O171" s="12" t="s">
        <v>28</v>
      </c>
      <c r="P171" s="76"/>
      <c r="Q171" s="76"/>
      <c r="R171" s="76"/>
      <c r="S171" s="76"/>
      <c r="T171" s="76"/>
    </row>
    <row r="172" spans="2:20">
      <c r="B172" s="19">
        <f t="shared" si="54"/>
        <v>1.2736830578265042</v>
      </c>
      <c r="C172" s="19">
        <f t="shared" si="51"/>
        <v>1.2736830578265042</v>
      </c>
      <c r="D172" s="21">
        <f t="shared" si="55"/>
        <v>1011.1514893353096</v>
      </c>
      <c r="E172" s="21">
        <f t="shared" si="56"/>
        <v>1011.1514893353096</v>
      </c>
      <c r="F172" s="21">
        <f t="shared" si="47"/>
        <v>1011.1514893353096</v>
      </c>
      <c r="G172" s="6">
        <f t="shared" si="48"/>
        <v>2.246209520938856</v>
      </c>
      <c r="H172" s="22">
        <f t="shared" si="52"/>
        <v>613.88327338835052</v>
      </c>
      <c r="I172" s="22">
        <f t="shared" si="58"/>
        <v>0</v>
      </c>
      <c r="J172" s="1">
        <f t="shared" si="57"/>
        <v>0</v>
      </c>
      <c r="K172" s="21">
        <f t="shared" si="49"/>
        <v>1269.2106886015215</v>
      </c>
      <c r="L172" s="3">
        <v>0</v>
      </c>
      <c r="M172" s="7">
        <f t="shared" si="53"/>
        <v>0</v>
      </c>
      <c r="N172" s="16">
        <f t="shared" si="50"/>
        <v>19386193019.848557</v>
      </c>
      <c r="O172" s="12" t="s">
        <v>29</v>
      </c>
      <c r="P172" s="76"/>
      <c r="Q172" s="76"/>
      <c r="R172" s="76"/>
      <c r="S172" s="76"/>
      <c r="T172" s="76"/>
    </row>
    <row r="173" spans="2:20">
      <c r="B173" s="19">
        <f t="shared" si="54"/>
        <v>1.2736830578265042</v>
      </c>
      <c r="C173" s="19">
        <f t="shared" si="51"/>
        <v>1.2736830578265042</v>
      </c>
      <c r="D173" s="21">
        <f t="shared" si="55"/>
        <v>1011.1514893353096</v>
      </c>
      <c r="E173" s="21">
        <f t="shared" si="56"/>
        <v>1011.1514893353096</v>
      </c>
      <c r="F173" s="21">
        <f t="shared" si="47"/>
        <v>1011.1514893353096</v>
      </c>
      <c r="G173" s="6">
        <f t="shared" si="48"/>
        <v>2.246209520938856</v>
      </c>
      <c r="H173" s="22">
        <f t="shared" si="52"/>
        <v>613.88327338835052</v>
      </c>
      <c r="I173" s="22">
        <f t="shared" si="58"/>
        <v>0</v>
      </c>
      <c r="J173" s="1">
        <f t="shared" si="57"/>
        <v>0</v>
      </c>
      <c r="K173" s="21">
        <f t="shared" si="49"/>
        <v>1269.2106886015215</v>
      </c>
      <c r="L173" s="3">
        <v>0</v>
      </c>
      <c r="M173" s="7">
        <f t="shared" si="53"/>
        <v>0</v>
      </c>
      <c r="N173" s="16">
        <f t="shared" si="50"/>
        <v>19386193019.848557</v>
      </c>
      <c r="O173" s="12" t="s">
        <v>30</v>
      </c>
      <c r="P173" s="76"/>
      <c r="Q173" s="76"/>
      <c r="R173" s="76"/>
      <c r="S173" s="76"/>
      <c r="T173" s="76"/>
    </row>
    <row r="174" spans="2:20">
      <c r="B174" s="19">
        <f t="shared" si="54"/>
        <v>1.2736830578265042</v>
      </c>
      <c r="C174" s="19">
        <f t="shared" si="51"/>
        <v>1.2736830578265042</v>
      </c>
      <c r="D174" s="21">
        <f t="shared" si="55"/>
        <v>1011.1514893353096</v>
      </c>
      <c r="E174" s="21">
        <f t="shared" si="56"/>
        <v>1011.1514893353096</v>
      </c>
      <c r="F174" s="21">
        <f t="shared" si="47"/>
        <v>1011.1514893353096</v>
      </c>
      <c r="G174" s="6">
        <f t="shared" si="48"/>
        <v>2.246209520938856</v>
      </c>
      <c r="H174" s="22">
        <f t="shared" si="52"/>
        <v>613.88327338835052</v>
      </c>
      <c r="I174" s="22">
        <f t="shared" si="58"/>
        <v>0</v>
      </c>
      <c r="J174" s="1">
        <f t="shared" si="57"/>
        <v>0</v>
      </c>
      <c r="K174" s="21">
        <f t="shared" si="49"/>
        <v>1269.2106886015215</v>
      </c>
      <c r="L174" s="3">
        <v>0</v>
      </c>
      <c r="M174" s="7">
        <f t="shared" si="53"/>
        <v>0</v>
      </c>
      <c r="N174" s="16">
        <f t="shared" si="50"/>
        <v>19386193019.848557</v>
      </c>
      <c r="O174" s="12" t="s">
        <v>18</v>
      </c>
      <c r="P174" s="76"/>
      <c r="Q174" s="76"/>
      <c r="R174" s="76"/>
      <c r="S174" s="76"/>
      <c r="T174" s="76"/>
    </row>
    <row r="175" spans="2:20">
      <c r="B175" s="19">
        <f t="shared" si="54"/>
        <v>1.2736830578265042</v>
      </c>
      <c r="C175" s="19">
        <f t="shared" si="51"/>
        <v>1.2736830578265042</v>
      </c>
      <c r="D175" s="21">
        <f t="shared" si="55"/>
        <v>1011.1514893353096</v>
      </c>
      <c r="E175" s="21">
        <f t="shared" si="56"/>
        <v>1011.1514893353096</v>
      </c>
      <c r="F175" s="21">
        <f t="shared" si="47"/>
        <v>1011.1514893353096</v>
      </c>
      <c r="G175" s="6">
        <f t="shared" si="48"/>
        <v>2.246209520938856</v>
      </c>
      <c r="H175" s="22">
        <f t="shared" si="52"/>
        <v>613.88327338835052</v>
      </c>
      <c r="I175" s="22">
        <f t="shared" si="58"/>
        <v>0</v>
      </c>
      <c r="J175" s="1">
        <f t="shared" si="57"/>
        <v>0</v>
      </c>
      <c r="K175" s="21">
        <f t="shared" si="49"/>
        <v>1269.2106886015215</v>
      </c>
      <c r="L175" s="3">
        <v>0</v>
      </c>
      <c r="M175" s="7">
        <f t="shared" si="53"/>
        <v>0</v>
      </c>
      <c r="N175" s="16">
        <f t="shared" si="50"/>
        <v>19386193019.848557</v>
      </c>
      <c r="O175" s="12" t="s">
        <v>127</v>
      </c>
      <c r="P175" s="76"/>
      <c r="Q175" s="76"/>
      <c r="R175" s="76"/>
      <c r="S175" s="76"/>
      <c r="T175" s="76"/>
    </row>
    <row r="176" spans="2:20">
      <c r="B176" s="19">
        <f t="shared" si="54"/>
        <v>1.2736830578265042</v>
      </c>
      <c r="C176" s="19">
        <f t="shared" si="51"/>
        <v>1.2736830578265042</v>
      </c>
      <c r="D176" s="21">
        <f t="shared" si="55"/>
        <v>1011.1514893353096</v>
      </c>
      <c r="E176" s="21">
        <f t="shared" si="56"/>
        <v>1011.1514893353096</v>
      </c>
      <c r="F176" s="21">
        <f t="shared" si="47"/>
        <v>1011.1514893353096</v>
      </c>
      <c r="G176" s="6">
        <f t="shared" si="48"/>
        <v>2.246209520938856</v>
      </c>
      <c r="H176" s="22">
        <f t="shared" si="52"/>
        <v>613.88327338835052</v>
      </c>
      <c r="I176" s="22">
        <f t="shared" si="58"/>
        <v>0</v>
      </c>
      <c r="J176" s="1">
        <f t="shared" si="57"/>
        <v>0</v>
      </c>
      <c r="K176" s="21">
        <f t="shared" si="49"/>
        <v>1269.2106886015215</v>
      </c>
      <c r="L176" s="3">
        <v>0</v>
      </c>
      <c r="M176" s="7">
        <f t="shared" si="53"/>
        <v>0</v>
      </c>
      <c r="N176" s="16">
        <f t="shared" si="50"/>
        <v>19386193019.848557</v>
      </c>
      <c r="O176" s="12"/>
      <c r="P176" s="76"/>
      <c r="Q176" s="76"/>
      <c r="R176" s="76"/>
      <c r="S176" s="76"/>
      <c r="T176" s="76"/>
    </row>
    <row r="177" spans="2:20">
      <c r="B177" s="19">
        <f t="shared" si="54"/>
        <v>1.2736830578265042</v>
      </c>
      <c r="C177" s="19">
        <f t="shared" si="51"/>
        <v>1.2736830578265042</v>
      </c>
      <c r="D177" s="21">
        <f t="shared" si="55"/>
        <v>1011.1514893353096</v>
      </c>
      <c r="E177" s="21">
        <f t="shared" si="56"/>
        <v>1011.1514893353096</v>
      </c>
      <c r="F177" s="21">
        <f t="shared" si="47"/>
        <v>1011.1514893353096</v>
      </c>
      <c r="G177" s="6">
        <f t="shared" si="48"/>
        <v>2.246209520938856</v>
      </c>
      <c r="H177" s="22">
        <f t="shared" si="52"/>
        <v>613.88327338835052</v>
      </c>
      <c r="I177" s="22">
        <f t="shared" si="58"/>
        <v>0</v>
      </c>
      <c r="J177" s="1">
        <f t="shared" si="57"/>
        <v>0</v>
      </c>
      <c r="K177" s="21">
        <f t="shared" si="49"/>
        <v>1269.2106886015215</v>
      </c>
      <c r="L177" s="3">
        <v>0</v>
      </c>
      <c r="M177" s="7">
        <f t="shared" si="53"/>
        <v>0</v>
      </c>
      <c r="N177" s="16">
        <f t="shared" si="50"/>
        <v>19386193019.848557</v>
      </c>
      <c r="O177" s="12"/>
      <c r="P177" s="76"/>
      <c r="Q177" s="76"/>
      <c r="R177" s="76"/>
      <c r="S177" s="76"/>
      <c r="T177" s="76"/>
    </row>
    <row r="178" spans="2:20">
      <c r="B178" s="19">
        <f t="shared" si="54"/>
        <v>1.2736830578265042</v>
      </c>
      <c r="C178" s="19">
        <f t="shared" si="51"/>
        <v>1.2736830578265042</v>
      </c>
      <c r="D178" s="21">
        <f t="shared" si="55"/>
        <v>1011.1514893353096</v>
      </c>
      <c r="E178" s="21">
        <f t="shared" si="56"/>
        <v>1011.1514893353096</v>
      </c>
      <c r="F178" s="21">
        <f t="shared" si="47"/>
        <v>1011.1514893353096</v>
      </c>
      <c r="G178" s="6">
        <f t="shared" si="48"/>
        <v>2.246209520938856</v>
      </c>
      <c r="H178" s="22">
        <f t="shared" si="52"/>
        <v>613.88327338835052</v>
      </c>
      <c r="I178" s="22">
        <f t="shared" si="58"/>
        <v>0</v>
      </c>
      <c r="J178" s="1">
        <f t="shared" si="57"/>
        <v>0</v>
      </c>
      <c r="K178" s="21">
        <f t="shared" si="49"/>
        <v>1269.2106886015215</v>
      </c>
      <c r="L178" s="3">
        <v>0</v>
      </c>
      <c r="M178" s="7">
        <f t="shared" si="53"/>
        <v>0</v>
      </c>
      <c r="N178" s="16">
        <f t="shared" si="50"/>
        <v>19386193019.848557</v>
      </c>
      <c r="O178" s="12"/>
      <c r="P178" s="76"/>
      <c r="Q178" s="76"/>
      <c r="R178" s="76"/>
      <c r="S178" s="76"/>
      <c r="T178" s="76"/>
    </row>
    <row r="179" spans="2:20">
      <c r="B179" s="19">
        <f t="shared" si="54"/>
        <v>1.2736830578265042</v>
      </c>
      <c r="C179" s="19">
        <f t="shared" si="51"/>
        <v>1.2736830578265042</v>
      </c>
      <c r="D179" s="21">
        <f t="shared" si="55"/>
        <v>1011.1514893353096</v>
      </c>
      <c r="E179" s="21">
        <f t="shared" si="56"/>
        <v>1011.1514893353096</v>
      </c>
      <c r="F179" s="21">
        <f t="shared" si="47"/>
        <v>1011.1514893353096</v>
      </c>
      <c r="G179" s="6">
        <f t="shared" si="48"/>
        <v>2.246209520938856</v>
      </c>
      <c r="H179" s="22">
        <f t="shared" si="52"/>
        <v>613.88327338835052</v>
      </c>
      <c r="I179" s="22">
        <f t="shared" si="58"/>
        <v>0</v>
      </c>
      <c r="J179" s="1">
        <f t="shared" si="57"/>
        <v>0</v>
      </c>
      <c r="K179" s="21">
        <f t="shared" si="49"/>
        <v>1269.2106886015215</v>
      </c>
      <c r="L179" s="3">
        <v>0</v>
      </c>
      <c r="M179" s="7">
        <f t="shared" si="53"/>
        <v>0</v>
      </c>
      <c r="N179" s="16">
        <f t="shared" si="50"/>
        <v>19386193019.848557</v>
      </c>
      <c r="O179" s="12"/>
      <c r="P179" s="76"/>
      <c r="Q179" s="76"/>
      <c r="R179" s="76"/>
      <c r="S179" s="76"/>
      <c r="T179" s="76"/>
    </row>
    <row r="180" spans="2:20">
      <c r="B180" s="19">
        <f t="shared" si="54"/>
        <v>1.2736830578265042</v>
      </c>
      <c r="C180" s="19">
        <f t="shared" si="51"/>
        <v>1.2736830578265042</v>
      </c>
      <c r="D180" s="21">
        <f t="shared" si="55"/>
        <v>1011.1514893353096</v>
      </c>
      <c r="E180" s="21">
        <f t="shared" si="56"/>
        <v>1011.1514893353096</v>
      </c>
      <c r="F180" s="21">
        <f t="shared" si="47"/>
        <v>1011.1514893353096</v>
      </c>
      <c r="G180" s="6">
        <f t="shared" si="48"/>
        <v>2.246209520938856</v>
      </c>
      <c r="H180" s="22">
        <f t="shared" si="52"/>
        <v>613.88327338835052</v>
      </c>
      <c r="I180" s="22">
        <f t="shared" si="58"/>
        <v>0</v>
      </c>
      <c r="J180" s="1">
        <f t="shared" si="57"/>
        <v>0</v>
      </c>
      <c r="K180" s="21">
        <f t="shared" si="49"/>
        <v>1269.2106886015215</v>
      </c>
      <c r="L180" s="3">
        <v>0</v>
      </c>
      <c r="M180" s="7">
        <f t="shared" si="53"/>
        <v>0</v>
      </c>
      <c r="N180" s="16">
        <f t="shared" si="50"/>
        <v>19386193019.848557</v>
      </c>
      <c r="O180" s="12"/>
      <c r="P180" s="76"/>
      <c r="Q180" s="76"/>
      <c r="R180" s="76"/>
      <c r="S180" s="76"/>
      <c r="T180" s="76"/>
    </row>
    <row r="181" spans="2:20">
      <c r="B181" s="19">
        <f t="shared" si="54"/>
        <v>1.2736830578265042</v>
      </c>
      <c r="C181" s="19">
        <f t="shared" si="51"/>
        <v>1.2736830578265042</v>
      </c>
      <c r="D181" s="21">
        <f t="shared" si="55"/>
        <v>1011.1514893353096</v>
      </c>
      <c r="E181" s="21">
        <f t="shared" si="56"/>
        <v>1011.1514893353096</v>
      </c>
      <c r="F181" s="21">
        <f t="shared" si="47"/>
        <v>1011.1514893353096</v>
      </c>
      <c r="G181" s="6">
        <f t="shared" si="48"/>
        <v>2.246209520938856</v>
      </c>
      <c r="H181" s="22">
        <f t="shared" si="52"/>
        <v>613.88327338835052</v>
      </c>
      <c r="I181" s="22">
        <f t="shared" si="58"/>
        <v>0</v>
      </c>
      <c r="J181" s="1">
        <f t="shared" si="57"/>
        <v>0</v>
      </c>
      <c r="K181" s="21">
        <f t="shared" si="49"/>
        <v>1269.2106886015215</v>
      </c>
      <c r="L181" s="3">
        <v>0</v>
      </c>
      <c r="M181" s="7">
        <f t="shared" si="53"/>
        <v>0</v>
      </c>
      <c r="N181" s="16">
        <f t="shared" si="50"/>
        <v>19386193019.848557</v>
      </c>
      <c r="O181" s="12"/>
      <c r="P181" s="76"/>
      <c r="Q181" s="76"/>
      <c r="R181" s="76"/>
      <c r="S181" s="76"/>
      <c r="T181" s="76"/>
    </row>
    <row r="182" spans="2:20">
      <c r="B182" s="19">
        <f t="shared" si="54"/>
        <v>1.2736830578265042</v>
      </c>
      <c r="C182" s="19">
        <f t="shared" si="51"/>
        <v>1.2736830578265042</v>
      </c>
      <c r="D182" s="21">
        <f t="shared" si="55"/>
        <v>1011.1514893353096</v>
      </c>
      <c r="E182" s="21">
        <f t="shared" si="56"/>
        <v>1011.1514893353096</v>
      </c>
      <c r="F182" s="21">
        <f t="shared" si="47"/>
        <v>1011.1514893353096</v>
      </c>
      <c r="G182" s="6">
        <f t="shared" si="48"/>
        <v>2.246209520938856</v>
      </c>
      <c r="H182" s="22">
        <f t="shared" si="52"/>
        <v>613.88327338835052</v>
      </c>
      <c r="I182" s="22">
        <f t="shared" si="58"/>
        <v>0</v>
      </c>
      <c r="J182" s="1">
        <f t="shared" si="57"/>
        <v>0</v>
      </c>
      <c r="K182" s="21">
        <f t="shared" si="49"/>
        <v>1269.2106886015215</v>
      </c>
      <c r="L182" s="3">
        <v>0</v>
      </c>
      <c r="M182" s="7">
        <f t="shared" si="53"/>
        <v>0</v>
      </c>
      <c r="N182" s="16">
        <f t="shared" si="50"/>
        <v>19386193019.848557</v>
      </c>
      <c r="O182" s="12"/>
      <c r="P182" s="76"/>
      <c r="Q182" s="76"/>
      <c r="R182" s="76"/>
      <c r="S182" s="76"/>
      <c r="T182" s="76"/>
    </row>
    <row r="183" spans="2:20">
      <c r="B183" s="19">
        <f t="shared" si="54"/>
        <v>1.2736830578265042</v>
      </c>
      <c r="C183" s="19">
        <f t="shared" si="51"/>
        <v>1.2736830578265042</v>
      </c>
      <c r="D183" s="21">
        <f t="shared" si="55"/>
        <v>1011.1514893353096</v>
      </c>
      <c r="E183" s="21">
        <f t="shared" si="56"/>
        <v>1011.1514893353096</v>
      </c>
      <c r="F183" s="21">
        <f t="shared" si="47"/>
        <v>1011.1514893353096</v>
      </c>
      <c r="G183" s="6">
        <f t="shared" si="48"/>
        <v>2.246209520938856</v>
      </c>
      <c r="H183" s="22">
        <f t="shared" si="52"/>
        <v>613.88327338835052</v>
      </c>
      <c r="I183" s="22">
        <f t="shared" si="58"/>
        <v>0</v>
      </c>
      <c r="J183" s="1">
        <f t="shared" si="57"/>
        <v>0</v>
      </c>
      <c r="K183" s="21">
        <f t="shared" si="49"/>
        <v>1269.2106886015215</v>
      </c>
      <c r="L183" s="3">
        <v>0</v>
      </c>
      <c r="M183" s="7">
        <f t="shared" si="53"/>
        <v>0</v>
      </c>
      <c r="N183" s="16">
        <f t="shared" si="50"/>
        <v>19386193019.848557</v>
      </c>
      <c r="O183" s="77"/>
      <c r="P183" s="76"/>
      <c r="Q183" s="76"/>
      <c r="R183" s="76"/>
      <c r="S183" s="76"/>
      <c r="T183" s="76"/>
    </row>
    <row r="184" spans="2:20">
      <c r="B184" s="19">
        <f t="shared" si="54"/>
        <v>1.2736830578265042</v>
      </c>
      <c r="C184" s="19">
        <f t="shared" si="51"/>
        <v>1.2736830578265042</v>
      </c>
      <c r="D184" s="21">
        <f t="shared" si="55"/>
        <v>1011.1514893353096</v>
      </c>
      <c r="E184" s="21">
        <f t="shared" si="56"/>
        <v>1011.1514893353096</v>
      </c>
      <c r="F184" s="21">
        <f t="shared" si="47"/>
        <v>1011.1514893353096</v>
      </c>
      <c r="G184" s="6">
        <f t="shared" si="48"/>
        <v>2.246209520938856</v>
      </c>
      <c r="H184" s="22">
        <f t="shared" si="52"/>
        <v>613.88327338835052</v>
      </c>
      <c r="I184" s="22">
        <f t="shared" si="58"/>
        <v>0</v>
      </c>
      <c r="J184" s="1">
        <f t="shared" si="57"/>
        <v>0</v>
      </c>
      <c r="K184" s="21">
        <f t="shared" si="49"/>
        <v>1269.2106886015215</v>
      </c>
      <c r="L184" s="3">
        <v>0</v>
      </c>
      <c r="M184" s="7">
        <f t="shared" si="53"/>
        <v>0</v>
      </c>
      <c r="N184" s="16">
        <f t="shared" si="50"/>
        <v>19386193019.848557</v>
      </c>
      <c r="O184" s="77"/>
      <c r="P184" s="76"/>
      <c r="Q184" s="76"/>
      <c r="R184" s="76"/>
      <c r="S184" s="76"/>
      <c r="T184" s="76"/>
    </row>
    <row r="185" spans="2:20">
      <c r="B185" s="19">
        <f t="shared" si="54"/>
        <v>1.2736830578265042</v>
      </c>
      <c r="C185" s="19">
        <f t="shared" si="51"/>
        <v>1.2736830578265042</v>
      </c>
      <c r="D185" s="21">
        <f t="shared" si="55"/>
        <v>1011.1514893353096</v>
      </c>
      <c r="E185" s="21">
        <f t="shared" si="56"/>
        <v>1011.1514893353096</v>
      </c>
      <c r="F185" s="21">
        <f t="shared" si="47"/>
        <v>1011.1514893353096</v>
      </c>
      <c r="G185" s="6">
        <f t="shared" si="48"/>
        <v>2.246209520938856</v>
      </c>
      <c r="H185" s="22">
        <f t="shared" si="52"/>
        <v>613.88327338835052</v>
      </c>
      <c r="I185" s="22">
        <f t="shared" si="58"/>
        <v>0</v>
      </c>
      <c r="J185" s="1">
        <f t="shared" si="57"/>
        <v>0</v>
      </c>
      <c r="K185" s="21">
        <f t="shared" si="49"/>
        <v>1269.2106886015215</v>
      </c>
      <c r="L185" s="3">
        <v>0</v>
      </c>
      <c r="M185" s="7">
        <f t="shared" si="53"/>
        <v>0</v>
      </c>
      <c r="N185" s="16">
        <f t="shared" si="50"/>
        <v>19386193019.848557</v>
      </c>
      <c r="O185" s="13"/>
      <c r="P185" s="76"/>
      <c r="Q185" s="76"/>
      <c r="R185" s="76"/>
      <c r="S185" s="76"/>
      <c r="T185" s="76"/>
    </row>
    <row r="186" spans="2:20">
      <c r="B186" s="19">
        <f t="shared" si="54"/>
        <v>1.2736830578265042</v>
      </c>
      <c r="C186" s="19">
        <f t="shared" si="51"/>
        <v>1.2736830578265042</v>
      </c>
      <c r="D186" s="21">
        <f t="shared" si="55"/>
        <v>1011.1514893353096</v>
      </c>
      <c r="E186" s="21">
        <f t="shared" si="56"/>
        <v>1011.1514893353096</v>
      </c>
      <c r="F186" s="21">
        <f t="shared" si="47"/>
        <v>1011.1514893353096</v>
      </c>
      <c r="G186" s="6">
        <f t="shared" si="48"/>
        <v>2.246209520938856</v>
      </c>
      <c r="H186" s="22">
        <f t="shared" si="52"/>
        <v>613.88327338835052</v>
      </c>
      <c r="I186" s="22">
        <f t="shared" si="58"/>
        <v>0</v>
      </c>
      <c r="J186" s="1">
        <f t="shared" si="57"/>
        <v>0</v>
      </c>
      <c r="K186" s="21">
        <f t="shared" si="49"/>
        <v>1269.2106886015215</v>
      </c>
      <c r="L186" s="3">
        <v>0</v>
      </c>
      <c r="M186" s="7">
        <f t="shared" si="53"/>
        <v>0</v>
      </c>
      <c r="N186" s="16">
        <f t="shared" si="50"/>
        <v>19386193019.848557</v>
      </c>
      <c r="O186" s="12"/>
      <c r="P186" s="76"/>
      <c r="Q186" s="76"/>
      <c r="R186" s="76"/>
      <c r="S186" s="76"/>
      <c r="T186" s="76"/>
    </row>
    <row r="187" spans="2:20">
      <c r="B187" s="19">
        <f t="shared" si="54"/>
        <v>1.2736830578265042</v>
      </c>
      <c r="C187" s="19">
        <f t="shared" si="51"/>
        <v>1.2736830578265042</v>
      </c>
      <c r="D187" s="21">
        <f t="shared" si="55"/>
        <v>1011.1514893353096</v>
      </c>
      <c r="E187" s="21">
        <f t="shared" si="56"/>
        <v>1011.1514893353096</v>
      </c>
      <c r="F187" s="21">
        <f t="shared" si="47"/>
        <v>1011.1514893353096</v>
      </c>
      <c r="G187" s="6">
        <f t="shared" si="48"/>
        <v>2.246209520938856</v>
      </c>
      <c r="H187" s="22">
        <f t="shared" si="52"/>
        <v>613.88327338835052</v>
      </c>
      <c r="I187" s="22">
        <f t="shared" si="58"/>
        <v>0</v>
      </c>
      <c r="J187" s="1">
        <f t="shared" si="57"/>
        <v>0</v>
      </c>
      <c r="K187" s="21">
        <f t="shared" si="49"/>
        <v>1269.2106886015215</v>
      </c>
      <c r="L187" s="3">
        <v>0</v>
      </c>
      <c r="M187" s="7">
        <f t="shared" si="53"/>
        <v>0</v>
      </c>
      <c r="N187" s="16">
        <f t="shared" si="50"/>
        <v>19386193019.848557</v>
      </c>
      <c r="O187" s="12"/>
      <c r="P187" s="76"/>
      <c r="Q187" s="76"/>
      <c r="R187" s="76"/>
      <c r="S187" s="76"/>
      <c r="T187" s="76"/>
    </row>
    <row r="188" spans="2:20">
      <c r="B188" s="19">
        <f t="shared" si="54"/>
        <v>1.2736830578265042</v>
      </c>
      <c r="C188" s="19">
        <f t="shared" si="51"/>
        <v>1.2736830578265042</v>
      </c>
      <c r="D188" s="21">
        <f t="shared" si="55"/>
        <v>1011.1514893353096</v>
      </c>
      <c r="E188" s="21">
        <f t="shared" si="56"/>
        <v>1011.1514893353096</v>
      </c>
      <c r="F188" s="21">
        <f t="shared" si="47"/>
        <v>1011.1514893353096</v>
      </c>
      <c r="G188" s="6">
        <f t="shared" si="48"/>
        <v>2.246209520938856</v>
      </c>
      <c r="H188" s="22">
        <f t="shared" si="52"/>
        <v>613.88327338835052</v>
      </c>
      <c r="I188" s="22">
        <f t="shared" si="58"/>
        <v>0</v>
      </c>
      <c r="J188" s="1">
        <f t="shared" si="57"/>
        <v>0</v>
      </c>
      <c r="K188" s="21">
        <f t="shared" si="49"/>
        <v>1269.2106886015215</v>
      </c>
      <c r="L188" s="3">
        <v>0</v>
      </c>
      <c r="M188" s="7">
        <f t="shared" si="53"/>
        <v>0</v>
      </c>
      <c r="N188" s="16">
        <f t="shared" si="50"/>
        <v>19386193019.848557</v>
      </c>
      <c r="O188" s="12"/>
      <c r="P188" s="76"/>
      <c r="Q188" s="76"/>
      <c r="R188" s="76"/>
      <c r="S188" s="76"/>
      <c r="T188" s="76"/>
    </row>
    <row r="189" spans="2:20">
      <c r="B189" s="19">
        <f t="shared" si="54"/>
        <v>1.2736830578265042</v>
      </c>
      <c r="C189" s="19">
        <f t="shared" si="51"/>
        <v>1.2736830578265042</v>
      </c>
      <c r="D189" s="21">
        <f t="shared" si="55"/>
        <v>1011.1514893353096</v>
      </c>
      <c r="E189" s="21">
        <f t="shared" si="56"/>
        <v>1011.1514893353096</v>
      </c>
      <c r="F189" s="21">
        <f t="shared" si="47"/>
        <v>1011.1514893353096</v>
      </c>
      <c r="G189" s="6">
        <f t="shared" si="48"/>
        <v>2.246209520938856</v>
      </c>
      <c r="H189" s="22">
        <f t="shared" si="52"/>
        <v>613.88327338835052</v>
      </c>
      <c r="I189" s="22">
        <f t="shared" si="58"/>
        <v>0</v>
      </c>
      <c r="J189" s="1">
        <f t="shared" si="57"/>
        <v>0</v>
      </c>
      <c r="K189" s="21">
        <f t="shared" si="49"/>
        <v>1269.2106886015215</v>
      </c>
      <c r="L189" s="3">
        <v>0</v>
      </c>
      <c r="M189" s="7">
        <f t="shared" si="53"/>
        <v>0</v>
      </c>
      <c r="N189" s="16">
        <f t="shared" si="50"/>
        <v>19386193019.848557</v>
      </c>
      <c r="O189" s="12"/>
      <c r="P189" s="76"/>
      <c r="Q189" s="76"/>
      <c r="R189" s="76"/>
      <c r="S189" s="76"/>
      <c r="T189" s="76"/>
    </row>
    <row r="190" spans="2:20">
      <c r="B190" s="19">
        <f t="shared" si="54"/>
        <v>1.2736830578265042</v>
      </c>
      <c r="C190" s="19">
        <f t="shared" si="51"/>
        <v>1.2736830578265042</v>
      </c>
      <c r="D190" s="21">
        <f t="shared" si="55"/>
        <v>1011.1514893353096</v>
      </c>
      <c r="E190" s="21">
        <f t="shared" si="56"/>
        <v>1011.1514893353096</v>
      </c>
      <c r="F190" s="21">
        <f t="shared" si="47"/>
        <v>1011.1514893353096</v>
      </c>
      <c r="G190" s="6">
        <f t="shared" si="48"/>
        <v>2.246209520938856</v>
      </c>
      <c r="H190" s="22">
        <f t="shared" si="52"/>
        <v>613.88327338835052</v>
      </c>
      <c r="I190" s="22">
        <f t="shared" si="58"/>
        <v>0</v>
      </c>
      <c r="J190" s="1">
        <f t="shared" si="57"/>
        <v>0</v>
      </c>
      <c r="K190" s="21">
        <f t="shared" si="49"/>
        <v>1269.2106886015215</v>
      </c>
      <c r="L190" s="3">
        <v>0</v>
      </c>
      <c r="M190" s="7">
        <f t="shared" si="53"/>
        <v>0</v>
      </c>
      <c r="N190" s="16">
        <f t="shared" si="50"/>
        <v>19386193019.848557</v>
      </c>
      <c r="O190" s="12"/>
      <c r="P190" s="76"/>
      <c r="Q190" s="76"/>
      <c r="R190" s="76"/>
      <c r="S190" s="76"/>
      <c r="T190" s="76"/>
    </row>
    <row r="191" spans="2:20">
      <c r="B191" s="19">
        <f t="shared" si="54"/>
        <v>1.2736830578265042</v>
      </c>
      <c r="C191" s="19">
        <f t="shared" si="51"/>
        <v>1.2736830578265042</v>
      </c>
      <c r="D191" s="21">
        <f t="shared" si="55"/>
        <v>1011.1514893353096</v>
      </c>
      <c r="E191" s="21">
        <f t="shared" si="56"/>
        <v>1011.1514893353096</v>
      </c>
      <c r="F191" s="21">
        <f t="shared" si="47"/>
        <v>1011.1514893353096</v>
      </c>
      <c r="G191" s="6">
        <f t="shared" si="48"/>
        <v>2.246209520938856</v>
      </c>
      <c r="H191" s="22">
        <f t="shared" si="52"/>
        <v>613.88327338835052</v>
      </c>
      <c r="I191" s="22">
        <f t="shared" si="58"/>
        <v>0</v>
      </c>
      <c r="J191" s="1">
        <f t="shared" si="57"/>
        <v>0</v>
      </c>
      <c r="K191" s="21">
        <f t="shared" si="49"/>
        <v>1269.2106886015215</v>
      </c>
      <c r="L191" s="3">
        <v>0</v>
      </c>
      <c r="M191" s="7">
        <f t="shared" si="53"/>
        <v>0</v>
      </c>
      <c r="N191" s="16">
        <f t="shared" si="50"/>
        <v>19386193019.848557</v>
      </c>
      <c r="O191" s="12"/>
      <c r="P191" s="76"/>
      <c r="Q191" s="76"/>
      <c r="R191" s="76"/>
      <c r="S191" s="76"/>
      <c r="T191" s="76"/>
    </row>
    <row r="192" spans="2:20">
      <c r="B192" s="19">
        <f t="shared" si="54"/>
        <v>1.2736830578265042</v>
      </c>
      <c r="C192" s="19">
        <f t="shared" si="51"/>
        <v>1.2736830578265042</v>
      </c>
      <c r="D192" s="21">
        <f t="shared" si="55"/>
        <v>1011.1514893353096</v>
      </c>
      <c r="E192" s="21">
        <f t="shared" si="56"/>
        <v>1011.1514893353096</v>
      </c>
      <c r="F192" s="21">
        <f t="shared" si="47"/>
        <v>1011.1514893353096</v>
      </c>
      <c r="G192" s="6">
        <f t="shared" si="48"/>
        <v>2.246209520938856</v>
      </c>
      <c r="H192" s="22">
        <f t="shared" si="52"/>
        <v>613.88327338835052</v>
      </c>
      <c r="I192" s="22">
        <f t="shared" si="58"/>
        <v>0</v>
      </c>
      <c r="J192" s="1">
        <f t="shared" si="57"/>
        <v>0</v>
      </c>
      <c r="K192" s="21">
        <f t="shared" si="49"/>
        <v>1269.2106886015215</v>
      </c>
      <c r="L192" s="3">
        <v>0</v>
      </c>
      <c r="M192" s="7">
        <f t="shared" si="53"/>
        <v>0</v>
      </c>
      <c r="N192" s="16">
        <f t="shared" si="50"/>
        <v>19386193019.848557</v>
      </c>
      <c r="O192" s="12"/>
      <c r="P192" s="76"/>
      <c r="Q192" s="76"/>
      <c r="R192" s="76"/>
      <c r="S192" s="76"/>
      <c r="T192" s="76"/>
    </row>
    <row r="193" spans="2:15">
      <c r="B193" s="17"/>
      <c r="C193" s="17"/>
      <c r="D193" s="1"/>
      <c r="E193" s="1"/>
      <c r="F193" s="1"/>
      <c r="G193" s="1"/>
      <c r="H193" s="22"/>
      <c r="I193" s="22"/>
      <c r="J193" s="1"/>
      <c r="K193" s="22"/>
      <c r="L193" s="1"/>
      <c r="M193" s="15">
        <f>SUM(M167:M192)</f>
        <v>0</v>
      </c>
      <c r="N193" s="15"/>
      <c r="O193" s="83" t="s">
        <v>124</v>
      </c>
    </row>
    <row r="194" spans="2:15">
      <c r="B194" s="20" t="s">
        <v>55</v>
      </c>
      <c r="C194" s="18" t="s">
        <v>118</v>
      </c>
      <c r="D194" s="14">
        <f>$D$4</f>
        <v>1.3</v>
      </c>
      <c r="E194" s="4" t="s">
        <v>119</v>
      </c>
      <c r="F194" s="4">
        <f>C$4*D194/(D194-1)</f>
        <v>1242.3218390804595</v>
      </c>
      <c r="G194" s="1"/>
      <c r="H194" s="22"/>
      <c r="I194" s="22"/>
      <c r="J194" s="1"/>
      <c r="K194" s="22"/>
      <c r="L194" s="1"/>
      <c r="M194" s="75"/>
      <c r="N194" s="75"/>
      <c r="O194" s="84"/>
    </row>
    <row r="195" spans="2:15">
      <c r="B195" s="17" t="s">
        <v>5</v>
      </c>
      <c r="C195" s="17" t="s">
        <v>121</v>
      </c>
      <c r="D195" t="s">
        <v>41</v>
      </c>
      <c r="E195" t="s">
        <v>123</v>
      </c>
      <c r="F195" t="s">
        <v>143</v>
      </c>
      <c r="G195" s="1" t="s">
        <v>15</v>
      </c>
      <c r="H195" s="22" t="s">
        <v>46</v>
      </c>
      <c r="I195" s="21" t="s">
        <v>47</v>
      </c>
      <c r="J195" s="6" t="s">
        <v>115</v>
      </c>
      <c r="K195" s="22" t="s">
        <v>98</v>
      </c>
      <c r="L195" s="4" t="s">
        <v>45</v>
      </c>
      <c r="M195" s="10" t="s">
        <v>44</v>
      </c>
      <c r="N195" s="10" t="s">
        <v>48</v>
      </c>
      <c r="O195" s="82" t="s">
        <v>55</v>
      </c>
    </row>
    <row r="196" spans="2:15">
      <c r="B196" s="17">
        <f>B192</f>
        <v>1.2736830578265042</v>
      </c>
      <c r="C196" s="19">
        <f>B196*(1+((D$194-1)/2)*J196^2)^(D$194/(D$194-1))</f>
        <v>1.2736830578265042</v>
      </c>
      <c r="D196" s="21">
        <f>D192</f>
        <v>1011.1514893353096</v>
      </c>
      <c r="E196" s="21">
        <f t="shared" ref="E196:E221" si="59">((F196-$K$7*$G$12)/(1-$K$7))*$H$10+F196*NOT($H$10)</f>
        <v>1011.1514893353096</v>
      </c>
      <c r="F196" s="21">
        <f>F192</f>
        <v>1011.1514893353096</v>
      </c>
      <c r="G196" s="6">
        <f t="shared" ref="G196:G221" si="60">($C$4*D196)/(101325*B196)</f>
        <v>2.246209520938856</v>
      </c>
      <c r="H196" s="22">
        <f t="shared" ref="H196:H221" si="61">SQRT($D$194*$C$4*D196)</f>
        <v>613.88327338835052</v>
      </c>
      <c r="I196" s="21">
        <f>H196*J196</f>
        <v>0</v>
      </c>
      <c r="J196" s="1">
        <f>J163</f>
        <v>0</v>
      </c>
      <c r="K196" s="21">
        <f t="shared" ref="K196:K221" si="62">$F$194*LN(D196/$G$4)-$C$4*LN(B196/$H$4)</f>
        <v>1269.2106886015215</v>
      </c>
      <c r="L196" s="3">
        <f>F$194*((F196-E196)+(E197-F196))</f>
        <v>0</v>
      </c>
      <c r="M196">
        <v>0</v>
      </c>
      <c r="N196" s="16">
        <f t="shared" ref="N196:N221" si="63">$B$17*G196/(I196+0.0000000001)</f>
        <v>19386193019.848557</v>
      </c>
      <c r="O196" s="12" t="s">
        <v>0</v>
      </c>
    </row>
    <row r="197" spans="2:15">
      <c r="B197" s="19">
        <f>C197/((1+((D$194-1)/2)*J197^2)^(D$194/(D$194-1)))</f>
        <v>1.2736830578265042</v>
      </c>
      <c r="C197" s="19">
        <f>C196+(C$221-C$196)/25</f>
        <v>1.2736830578265042</v>
      </c>
      <c r="D197" s="21">
        <f>F197/(1+((D$194-1)/2)*J197^2)</f>
        <v>1011.1514893353096</v>
      </c>
      <c r="E197" s="21">
        <f t="shared" si="59"/>
        <v>1011.1514893353096</v>
      </c>
      <c r="F197" s="21">
        <f t="shared" ref="F197:F220" si="64">F196+(F$221-F$196)/25</f>
        <v>1011.1514893353096</v>
      </c>
      <c r="G197" s="6">
        <f t="shared" si="60"/>
        <v>2.246209520938856</v>
      </c>
      <c r="H197" s="22">
        <f t="shared" si="61"/>
        <v>613.88327338835052</v>
      </c>
      <c r="I197" s="22">
        <f>I196</f>
        <v>0</v>
      </c>
      <c r="J197" s="1">
        <f>J196</f>
        <v>0</v>
      </c>
      <c r="K197" s="21">
        <f t="shared" si="62"/>
        <v>1269.2106886015215</v>
      </c>
      <c r="L197" s="3">
        <f t="shared" ref="L197:L220" si="65">F$194*((F197-E197)+(E198-F197))</f>
        <v>0</v>
      </c>
      <c r="M197">
        <v>0</v>
      </c>
      <c r="N197" s="16">
        <f t="shared" si="63"/>
        <v>19386193019.848557</v>
      </c>
      <c r="O197" s="12" t="s">
        <v>101</v>
      </c>
    </row>
    <row r="198" spans="2:15">
      <c r="B198" s="19">
        <f t="shared" ref="B198:B221" si="66">C198/((1+((D$194-1)/2)*J198^2)^(D$194/(D$194-1)))</f>
        <v>1.2736830578265042</v>
      </c>
      <c r="C198" s="19">
        <f t="shared" ref="C198:C220" si="67">C197+(C$221-C$196)/25</f>
        <v>1.2736830578265042</v>
      </c>
      <c r="D198" s="21">
        <f t="shared" ref="D198:D221" si="68">F198/(1+((D$194-1)/2)*J198^2)</f>
        <v>1011.1514893353096</v>
      </c>
      <c r="E198" s="21">
        <f t="shared" si="59"/>
        <v>1011.1514893353096</v>
      </c>
      <c r="F198" s="21">
        <f t="shared" si="64"/>
        <v>1011.1514893353096</v>
      </c>
      <c r="G198" s="6">
        <f t="shared" si="60"/>
        <v>2.246209520938856</v>
      </c>
      <c r="H198" s="22">
        <f t="shared" si="61"/>
        <v>613.88327338835052</v>
      </c>
      <c r="I198" s="22">
        <f>I197</f>
        <v>0</v>
      </c>
      <c r="J198" s="1">
        <f t="shared" ref="J198:J221" si="69">J197</f>
        <v>0</v>
      </c>
      <c r="K198" s="21">
        <f t="shared" si="62"/>
        <v>1269.2106886015215</v>
      </c>
      <c r="L198" s="3">
        <f t="shared" si="65"/>
        <v>0</v>
      </c>
      <c r="M198">
        <v>0</v>
      </c>
      <c r="N198" s="16">
        <f t="shared" si="63"/>
        <v>19386193019.848557</v>
      </c>
      <c r="O198" s="12" t="s">
        <v>102</v>
      </c>
    </row>
    <row r="199" spans="2:15">
      <c r="B199" s="19">
        <f t="shared" si="66"/>
        <v>1.2736830578265042</v>
      </c>
      <c r="C199" s="19">
        <f t="shared" si="67"/>
        <v>1.2736830578265042</v>
      </c>
      <c r="D199" s="21">
        <f t="shared" si="68"/>
        <v>1011.1514893353096</v>
      </c>
      <c r="E199" s="21">
        <f t="shared" si="59"/>
        <v>1011.1514893353096</v>
      </c>
      <c r="F199" s="21">
        <f t="shared" si="64"/>
        <v>1011.1514893353096</v>
      </c>
      <c r="G199" s="6">
        <f t="shared" si="60"/>
        <v>2.246209520938856</v>
      </c>
      <c r="H199" s="22">
        <f t="shared" si="61"/>
        <v>613.88327338835052</v>
      </c>
      <c r="I199" s="22">
        <f>I198</f>
        <v>0</v>
      </c>
      <c r="J199" s="1">
        <f t="shared" si="69"/>
        <v>0</v>
      </c>
      <c r="K199" s="21">
        <f t="shared" si="62"/>
        <v>1269.2106886015215</v>
      </c>
      <c r="L199" s="3">
        <f t="shared" si="65"/>
        <v>0</v>
      </c>
      <c r="M199">
        <v>0</v>
      </c>
      <c r="N199" s="16">
        <f t="shared" si="63"/>
        <v>19386193019.848557</v>
      </c>
      <c r="O199" s="12" t="s">
        <v>40</v>
      </c>
    </row>
    <row r="200" spans="2:15">
      <c r="B200" s="19">
        <f t="shared" si="66"/>
        <v>1.2736830578265042</v>
      </c>
      <c r="C200" s="19">
        <f t="shared" si="67"/>
        <v>1.2736830578265042</v>
      </c>
      <c r="D200" s="21">
        <f t="shared" si="68"/>
        <v>1011.1514893353096</v>
      </c>
      <c r="E200" s="21">
        <f t="shared" si="59"/>
        <v>1011.1514893353096</v>
      </c>
      <c r="F200" s="21">
        <f t="shared" si="64"/>
        <v>1011.1514893353096</v>
      </c>
      <c r="G200" s="6">
        <f t="shared" si="60"/>
        <v>2.246209520938856</v>
      </c>
      <c r="H200" s="22">
        <f t="shared" si="61"/>
        <v>613.88327338835052</v>
      </c>
      <c r="I200" s="22">
        <f>I199</f>
        <v>0</v>
      </c>
      <c r="J200" s="1">
        <f t="shared" si="69"/>
        <v>0</v>
      </c>
      <c r="K200" s="21">
        <f t="shared" si="62"/>
        <v>1269.2106886015215</v>
      </c>
      <c r="L200" s="3">
        <f t="shared" si="65"/>
        <v>0</v>
      </c>
      <c r="M200">
        <v>0</v>
      </c>
      <c r="N200" s="16">
        <f t="shared" si="63"/>
        <v>19386193019.848557</v>
      </c>
      <c r="O200" s="12" t="s">
        <v>103</v>
      </c>
    </row>
    <row r="201" spans="2:15">
      <c r="B201" s="19">
        <f t="shared" si="66"/>
        <v>1.2736830578265042</v>
      </c>
      <c r="C201" s="19">
        <f t="shared" si="67"/>
        <v>1.2736830578265042</v>
      </c>
      <c r="D201" s="21">
        <f t="shared" si="68"/>
        <v>1011.1514893353096</v>
      </c>
      <c r="E201" s="21">
        <f t="shared" si="59"/>
        <v>1011.1514893353096</v>
      </c>
      <c r="F201" s="21">
        <f t="shared" si="64"/>
        <v>1011.1514893353096</v>
      </c>
      <c r="G201" s="6">
        <f t="shared" si="60"/>
        <v>2.246209520938856</v>
      </c>
      <c r="H201" s="22">
        <f t="shared" si="61"/>
        <v>613.88327338835052</v>
      </c>
      <c r="I201" s="22">
        <f>I200</f>
        <v>0</v>
      </c>
      <c r="J201" s="1">
        <f t="shared" si="69"/>
        <v>0</v>
      </c>
      <c r="K201" s="21">
        <f t="shared" si="62"/>
        <v>1269.2106886015215</v>
      </c>
      <c r="L201" s="3">
        <f t="shared" si="65"/>
        <v>0</v>
      </c>
      <c r="M201">
        <v>0</v>
      </c>
      <c r="N201" s="16">
        <f t="shared" si="63"/>
        <v>19386193019.848557</v>
      </c>
      <c r="O201" s="12" t="s">
        <v>81</v>
      </c>
    </row>
    <row r="202" spans="2:15">
      <c r="B202" s="19">
        <f t="shared" si="66"/>
        <v>1.2736830578265042</v>
      </c>
      <c r="C202" s="19">
        <f t="shared" si="67"/>
        <v>1.2736830578265042</v>
      </c>
      <c r="D202" s="21">
        <f t="shared" si="68"/>
        <v>1011.1514893353096</v>
      </c>
      <c r="E202" s="21">
        <f t="shared" si="59"/>
        <v>1011.1514893353096</v>
      </c>
      <c r="F202" s="21">
        <f t="shared" si="64"/>
        <v>1011.1514893353096</v>
      </c>
      <c r="G202" s="6">
        <f t="shared" si="60"/>
        <v>2.246209520938856</v>
      </c>
      <c r="H202" s="22">
        <f t="shared" si="61"/>
        <v>613.88327338835052</v>
      </c>
      <c r="I202" s="22">
        <f t="shared" ref="I202:I221" si="70">I201</f>
        <v>0</v>
      </c>
      <c r="J202" s="1">
        <f t="shared" si="69"/>
        <v>0</v>
      </c>
      <c r="K202" s="21">
        <f t="shared" si="62"/>
        <v>1269.2106886015215</v>
      </c>
      <c r="L202" s="3">
        <f t="shared" si="65"/>
        <v>0</v>
      </c>
      <c r="M202">
        <v>0</v>
      </c>
      <c r="N202" s="16">
        <f t="shared" si="63"/>
        <v>19386193019.848557</v>
      </c>
      <c r="O202" s="12" t="s">
        <v>105</v>
      </c>
    </row>
    <row r="203" spans="2:15">
      <c r="B203" s="19">
        <f t="shared" si="66"/>
        <v>1.2736830578265042</v>
      </c>
      <c r="C203" s="19">
        <f t="shared" si="67"/>
        <v>1.2736830578265042</v>
      </c>
      <c r="D203" s="21">
        <f t="shared" si="68"/>
        <v>1011.1514893353096</v>
      </c>
      <c r="E203" s="21">
        <f t="shared" si="59"/>
        <v>1011.1514893353096</v>
      </c>
      <c r="F203" s="21">
        <f t="shared" si="64"/>
        <v>1011.1514893353096</v>
      </c>
      <c r="G203" s="6">
        <f t="shared" si="60"/>
        <v>2.246209520938856</v>
      </c>
      <c r="H203" s="22">
        <f t="shared" si="61"/>
        <v>613.88327338835052</v>
      </c>
      <c r="I203" s="22">
        <f t="shared" si="70"/>
        <v>0</v>
      </c>
      <c r="J203" s="1">
        <f t="shared" si="69"/>
        <v>0</v>
      </c>
      <c r="K203" s="21">
        <f t="shared" si="62"/>
        <v>1269.2106886015215</v>
      </c>
      <c r="L203" s="3">
        <f t="shared" si="65"/>
        <v>0</v>
      </c>
      <c r="M203">
        <v>0</v>
      </c>
      <c r="N203" s="16">
        <f t="shared" si="63"/>
        <v>19386193019.848557</v>
      </c>
      <c r="O203" s="12" t="s">
        <v>106</v>
      </c>
    </row>
    <row r="204" spans="2:15">
      <c r="B204" s="19">
        <f t="shared" si="66"/>
        <v>1.2736830578265042</v>
      </c>
      <c r="C204" s="19">
        <f t="shared" si="67"/>
        <v>1.2736830578265042</v>
      </c>
      <c r="D204" s="21">
        <f t="shared" si="68"/>
        <v>1011.1514893353096</v>
      </c>
      <c r="E204" s="21">
        <f t="shared" si="59"/>
        <v>1011.1514893353096</v>
      </c>
      <c r="F204" s="21">
        <f t="shared" si="64"/>
        <v>1011.1514893353096</v>
      </c>
      <c r="G204" s="6">
        <f t="shared" si="60"/>
        <v>2.246209520938856</v>
      </c>
      <c r="H204" s="22">
        <f t="shared" si="61"/>
        <v>613.88327338835052</v>
      </c>
      <c r="I204" s="22">
        <f t="shared" si="70"/>
        <v>0</v>
      </c>
      <c r="J204" s="1">
        <f t="shared" si="69"/>
        <v>0</v>
      </c>
      <c r="K204" s="21">
        <f t="shared" si="62"/>
        <v>1269.2106886015215</v>
      </c>
      <c r="L204" s="3">
        <f t="shared" si="65"/>
        <v>0</v>
      </c>
      <c r="M204">
        <v>0</v>
      </c>
      <c r="N204" s="16">
        <f t="shared" si="63"/>
        <v>19386193019.848557</v>
      </c>
      <c r="O204" s="12" t="s">
        <v>25</v>
      </c>
    </row>
    <row r="205" spans="2:15">
      <c r="B205" s="19">
        <f t="shared" si="66"/>
        <v>1.2736830578265042</v>
      </c>
      <c r="C205" s="19">
        <f t="shared" si="67"/>
        <v>1.2736830578265042</v>
      </c>
      <c r="D205" s="21">
        <f t="shared" si="68"/>
        <v>1011.1514893353096</v>
      </c>
      <c r="E205" s="21">
        <f t="shared" si="59"/>
        <v>1011.1514893353096</v>
      </c>
      <c r="F205" s="21">
        <f t="shared" si="64"/>
        <v>1011.1514893353096</v>
      </c>
      <c r="G205" s="6">
        <f t="shared" si="60"/>
        <v>2.246209520938856</v>
      </c>
      <c r="H205" s="22">
        <f t="shared" si="61"/>
        <v>613.88327338835052</v>
      </c>
      <c r="I205" s="22">
        <f t="shared" si="70"/>
        <v>0</v>
      </c>
      <c r="J205" s="1">
        <f t="shared" si="69"/>
        <v>0</v>
      </c>
      <c r="K205" s="21">
        <f t="shared" si="62"/>
        <v>1269.2106886015215</v>
      </c>
      <c r="L205" s="3">
        <f t="shared" si="65"/>
        <v>0</v>
      </c>
      <c r="M205">
        <v>0</v>
      </c>
      <c r="N205" s="16">
        <f t="shared" si="63"/>
        <v>19386193019.848557</v>
      </c>
      <c r="O205" s="12" t="s">
        <v>127</v>
      </c>
    </row>
    <row r="206" spans="2:15">
      <c r="B206" s="19">
        <f t="shared" si="66"/>
        <v>1.2736830578265042</v>
      </c>
      <c r="C206" s="19">
        <f t="shared" si="67"/>
        <v>1.2736830578265042</v>
      </c>
      <c r="D206" s="21">
        <f t="shared" si="68"/>
        <v>1011.1514893353096</v>
      </c>
      <c r="E206" s="21">
        <f t="shared" si="59"/>
        <v>1011.1514893353096</v>
      </c>
      <c r="F206" s="21">
        <f t="shared" si="64"/>
        <v>1011.1514893353096</v>
      </c>
      <c r="G206" s="6">
        <f t="shared" si="60"/>
        <v>2.246209520938856</v>
      </c>
      <c r="H206" s="22">
        <f t="shared" si="61"/>
        <v>613.88327338835052</v>
      </c>
      <c r="I206" s="22">
        <f t="shared" si="70"/>
        <v>0</v>
      </c>
      <c r="J206" s="1">
        <f t="shared" si="69"/>
        <v>0</v>
      </c>
      <c r="K206" s="21">
        <f t="shared" si="62"/>
        <v>1269.2106886015215</v>
      </c>
      <c r="L206" s="3">
        <f t="shared" si="65"/>
        <v>0</v>
      </c>
      <c r="M206">
        <v>0</v>
      </c>
      <c r="N206" s="16">
        <f t="shared" si="63"/>
        <v>19386193019.848557</v>
      </c>
      <c r="O206" s="12"/>
    </row>
    <row r="207" spans="2:15">
      <c r="B207" s="19">
        <f t="shared" si="66"/>
        <v>1.2736830578265042</v>
      </c>
      <c r="C207" s="19">
        <f t="shared" si="67"/>
        <v>1.2736830578265042</v>
      </c>
      <c r="D207" s="21">
        <f t="shared" si="68"/>
        <v>1011.1514893353096</v>
      </c>
      <c r="E207" s="21">
        <f t="shared" si="59"/>
        <v>1011.1514893353096</v>
      </c>
      <c r="F207" s="21">
        <f t="shared" si="64"/>
        <v>1011.1514893353096</v>
      </c>
      <c r="G207" s="6">
        <f t="shared" si="60"/>
        <v>2.246209520938856</v>
      </c>
      <c r="H207" s="22">
        <f t="shared" si="61"/>
        <v>613.88327338835052</v>
      </c>
      <c r="I207" s="22">
        <f t="shared" si="70"/>
        <v>0</v>
      </c>
      <c r="J207" s="1">
        <f t="shared" si="69"/>
        <v>0</v>
      </c>
      <c r="K207" s="21">
        <f t="shared" si="62"/>
        <v>1269.2106886015215</v>
      </c>
      <c r="L207" s="3">
        <f t="shared" si="65"/>
        <v>0</v>
      </c>
      <c r="M207">
        <v>0</v>
      </c>
      <c r="N207" s="16">
        <f t="shared" si="63"/>
        <v>19386193019.848557</v>
      </c>
      <c r="O207" s="12"/>
    </row>
    <row r="208" spans="2:15">
      <c r="B208" s="19">
        <f t="shared" si="66"/>
        <v>1.2736830578265042</v>
      </c>
      <c r="C208" s="19">
        <f t="shared" si="67"/>
        <v>1.2736830578265042</v>
      </c>
      <c r="D208" s="21">
        <f t="shared" si="68"/>
        <v>1011.1514893353096</v>
      </c>
      <c r="E208" s="21">
        <f t="shared" si="59"/>
        <v>1011.1514893353096</v>
      </c>
      <c r="F208" s="21">
        <f t="shared" si="64"/>
        <v>1011.1514893353096</v>
      </c>
      <c r="G208" s="6">
        <f t="shared" si="60"/>
        <v>2.246209520938856</v>
      </c>
      <c r="H208" s="22">
        <f t="shared" si="61"/>
        <v>613.88327338835052</v>
      </c>
      <c r="I208" s="22">
        <f t="shared" si="70"/>
        <v>0</v>
      </c>
      <c r="J208" s="1">
        <f t="shared" si="69"/>
        <v>0</v>
      </c>
      <c r="K208" s="21">
        <f t="shared" si="62"/>
        <v>1269.2106886015215</v>
      </c>
      <c r="L208" s="3">
        <f t="shared" si="65"/>
        <v>0</v>
      </c>
      <c r="M208">
        <v>0</v>
      </c>
      <c r="N208" s="16">
        <f t="shared" si="63"/>
        <v>19386193019.848557</v>
      </c>
      <c r="O208" s="12"/>
    </row>
    <row r="209" spans="2:16">
      <c r="B209" s="19">
        <f t="shared" si="66"/>
        <v>1.2736830578265042</v>
      </c>
      <c r="C209" s="19">
        <f t="shared" si="67"/>
        <v>1.2736830578265042</v>
      </c>
      <c r="D209" s="21">
        <f t="shared" si="68"/>
        <v>1011.1514893353096</v>
      </c>
      <c r="E209" s="21">
        <f t="shared" si="59"/>
        <v>1011.1514893353096</v>
      </c>
      <c r="F209" s="21">
        <f t="shared" si="64"/>
        <v>1011.1514893353096</v>
      </c>
      <c r="G209" s="6">
        <f t="shared" si="60"/>
        <v>2.246209520938856</v>
      </c>
      <c r="H209" s="22">
        <f t="shared" si="61"/>
        <v>613.88327338835052</v>
      </c>
      <c r="I209" s="22">
        <f t="shared" si="70"/>
        <v>0</v>
      </c>
      <c r="J209" s="1">
        <f t="shared" si="69"/>
        <v>0</v>
      </c>
      <c r="K209" s="21">
        <f t="shared" si="62"/>
        <v>1269.2106886015215</v>
      </c>
      <c r="L209" s="3">
        <f t="shared" si="65"/>
        <v>0</v>
      </c>
      <c r="M209">
        <v>0</v>
      </c>
      <c r="N209" s="16">
        <f t="shared" si="63"/>
        <v>19386193019.848557</v>
      </c>
      <c r="O209" s="12"/>
    </row>
    <row r="210" spans="2:16">
      <c r="B210" s="19">
        <f t="shared" si="66"/>
        <v>1.2736830578265042</v>
      </c>
      <c r="C210" s="19">
        <f t="shared" si="67"/>
        <v>1.2736830578265042</v>
      </c>
      <c r="D210" s="21">
        <f t="shared" si="68"/>
        <v>1011.1514893353096</v>
      </c>
      <c r="E210" s="21">
        <f t="shared" si="59"/>
        <v>1011.1514893353096</v>
      </c>
      <c r="F210" s="21">
        <f t="shared" si="64"/>
        <v>1011.1514893353096</v>
      </c>
      <c r="G210" s="6">
        <f t="shared" si="60"/>
        <v>2.246209520938856</v>
      </c>
      <c r="H210" s="22">
        <f t="shared" si="61"/>
        <v>613.88327338835052</v>
      </c>
      <c r="I210" s="22">
        <f t="shared" si="70"/>
        <v>0</v>
      </c>
      <c r="J210" s="1">
        <f t="shared" si="69"/>
        <v>0</v>
      </c>
      <c r="K210" s="21">
        <f t="shared" si="62"/>
        <v>1269.2106886015215</v>
      </c>
      <c r="L210" s="3">
        <f t="shared" si="65"/>
        <v>0</v>
      </c>
      <c r="M210">
        <v>0</v>
      </c>
      <c r="N210" s="16">
        <f t="shared" si="63"/>
        <v>19386193019.848557</v>
      </c>
      <c r="O210" s="12"/>
    </row>
    <row r="211" spans="2:16">
      <c r="B211" s="19">
        <f t="shared" si="66"/>
        <v>1.2736830578265042</v>
      </c>
      <c r="C211" s="19">
        <f t="shared" si="67"/>
        <v>1.2736830578265042</v>
      </c>
      <c r="D211" s="21">
        <f t="shared" si="68"/>
        <v>1011.1514893353096</v>
      </c>
      <c r="E211" s="21">
        <f t="shared" si="59"/>
        <v>1011.1514893353096</v>
      </c>
      <c r="F211" s="21">
        <f t="shared" si="64"/>
        <v>1011.1514893353096</v>
      </c>
      <c r="G211" s="6">
        <f t="shared" si="60"/>
        <v>2.246209520938856</v>
      </c>
      <c r="H211" s="22">
        <f t="shared" si="61"/>
        <v>613.88327338835052</v>
      </c>
      <c r="I211" s="22">
        <f t="shared" si="70"/>
        <v>0</v>
      </c>
      <c r="J211" s="1">
        <f t="shared" si="69"/>
        <v>0</v>
      </c>
      <c r="K211" s="21">
        <f t="shared" si="62"/>
        <v>1269.2106886015215</v>
      </c>
      <c r="L211" s="3">
        <f t="shared" si="65"/>
        <v>0</v>
      </c>
      <c r="M211">
        <v>0</v>
      </c>
      <c r="N211" s="16">
        <f t="shared" si="63"/>
        <v>19386193019.848557</v>
      </c>
      <c r="O211" s="12"/>
    </row>
    <row r="212" spans="2:16">
      <c r="B212" s="19">
        <f t="shared" si="66"/>
        <v>1.2736830578265042</v>
      </c>
      <c r="C212" s="19">
        <f t="shared" si="67"/>
        <v>1.2736830578265042</v>
      </c>
      <c r="D212" s="21">
        <f t="shared" si="68"/>
        <v>1011.1514893353096</v>
      </c>
      <c r="E212" s="21">
        <f t="shared" si="59"/>
        <v>1011.1514893353096</v>
      </c>
      <c r="F212" s="21">
        <f t="shared" si="64"/>
        <v>1011.1514893353096</v>
      </c>
      <c r="G212" s="6">
        <f t="shared" si="60"/>
        <v>2.246209520938856</v>
      </c>
      <c r="H212" s="22">
        <f t="shared" si="61"/>
        <v>613.88327338835052</v>
      </c>
      <c r="I212" s="22">
        <f t="shared" si="70"/>
        <v>0</v>
      </c>
      <c r="J212" s="1">
        <f t="shared" si="69"/>
        <v>0</v>
      </c>
      <c r="K212" s="21">
        <f t="shared" si="62"/>
        <v>1269.2106886015215</v>
      </c>
      <c r="L212" s="3">
        <f t="shared" si="65"/>
        <v>0</v>
      </c>
      <c r="M212">
        <v>0</v>
      </c>
      <c r="N212" s="16">
        <f t="shared" si="63"/>
        <v>19386193019.848557</v>
      </c>
      <c r="O212" s="12"/>
    </row>
    <row r="213" spans="2:16">
      <c r="B213" s="19">
        <f t="shared" si="66"/>
        <v>1.2736830578265042</v>
      </c>
      <c r="C213" s="19">
        <f t="shared" si="67"/>
        <v>1.2736830578265042</v>
      </c>
      <c r="D213" s="21">
        <f t="shared" si="68"/>
        <v>1011.1514893353096</v>
      </c>
      <c r="E213" s="21">
        <f t="shared" si="59"/>
        <v>1011.1514893353096</v>
      </c>
      <c r="F213" s="21">
        <f t="shared" si="64"/>
        <v>1011.1514893353096</v>
      </c>
      <c r="G213" s="6">
        <f t="shared" si="60"/>
        <v>2.246209520938856</v>
      </c>
      <c r="H213" s="22">
        <f t="shared" si="61"/>
        <v>613.88327338835052</v>
      </c>
      <c r="I213" s="22">
        <f t="shared" si="70"/>
        <v>0</v>
      </c>
      <c r="J213" s="1">
        <f t="shared" si="69"/>
        <v>0</v>
      </c>
      <c r="K213" s="21">
        <f t="shared" si="62"/>
        <v>1269.2106886015215</v>
      </c>
      <c r="L213" s="3">
        <f t="shared" si="65"/>
        <v>0</v>
      </c>
      <c r="M213">
        <v>0</v>
      </c>
      <c r="N213" s="16">
        <f t="shared" si="63"/>
        <v>19386193019.848557</v>
      </c>
      <c r="O213" s="12"/>
    </row>
    <row r="214" spans="2:16">
      <c r="B214" s="19">
        <f t="shared" si="66"/>
        <v>1.2736830578265042</v>
      </c>
      <c r="C214" s="19">
        <f t="shared" si="67"/>
        <v>1.2736830578265042</v>
      </c>
      <c r="D214" s="21">
        <f t="shared" si="68"/>
        <v>1011.1514893353096</v>
      </c>
      <c r="E214" s="21">
        <f t="shared" si="59"/>
        <v>1011.1514893353096</v>
      </c>
      <c r="F214" s="21">
        <f t="shared" si="64"/>
        <v>1011.1514893353096</v>
      </c>
      <c r="G214" s="6">
        <f t="shared" si="60"/>
        <v>2.246209520938856</v>
      </c>
      <c r="H214" s="22">
        <f t="shared" si="61"/>
        <v>613.88327338835052</v>
      </c>
      <c r="I214" s="22">
        <f t="shared" si="70"/>
        <v>0</v>
      </c>
      <c r="J214" s="1">
        <f t="shared" si="69"/>
        <v>0</v>
      </c>
      <c r="K214" s="21">
        <f t="shared" si="62"/>
        <v>1269.2106886015215</v>
      </c>
      <c r="L214" s="3">
        <f t="shared" si="65"/>
        <v>0</v>
      </c>
      <c r="M214">
        <v>0</v>
      </c>
      <c r="N214" s="16">
        <f t="shared" si="63"/>
        <v>19386193019.848557</v>
      </c>
      <c r="O214" s="12"/>
    </row>
    <row r="215" spans="2:16">
      <c r="B215" s="19">
        <f t="shared" si="66"/>
        <v>1.2736830578265042</v>
      </c>
      <c r="C215" s="19">
        <f t="shared" si="67"/>
        <v>1.2736830578265042</v>
      </c>
      <c r="D215" s="21">
        <f t="shared" si="68"/>
        <v>1011.1514893353096</v>
      </c>
      <c r="E215" s="21">
        <f t="shared" si="59"/>
        <v>1011.1514893353096</v>
      </c>
      <c r="F215" s="21">
        <f t="shared" si="64"/>
        <v>1011.1514893353096</v>
      </c>
      <c r="G215" s="6">
        <f t="shared" si="60"/>
        <v>2.246209520938856</v>
      </c>
      <c r="H215" s="22">
        <f t="shared" si="61"/>
        <v>613.88327338835052</v>
      </c>
      <c r="I215" s="22">
        <f t="shared" si="70"/>
        <v>0</v>
      </c>
      <c r="J215" s="1">
        <f t="shared" si="69"/>
        <v>0</v>
      </c>
      <c r="K215" s="21">
        <f t="shared" si="62"/>
        <v>1269.2106886015215</v>
      </c>
      <c r="L215" s="3">
        <f t="shared" si="65"/>
        <v>0</v>
      </c>
      <c r="M215">
        <v>0</v>
      </c>
      <c r="N215" s="16">
        <f t="shared" si="63"/>
        <v>19386193019.848557</v>
      </c>
      <c r="O215" s="12"/>
    </row>
    <row r="216" spans="2:16">
      <c r="B216" s="19">
        <f t="shared" si="66"/>
        <v>1.2736830578265042</v>
      </c>
      <c r="C216" s="19">
        <f t="shared" si="67"/>
        <v>1.2736830578265042</v>
      </c>
      <c r="D216" s="21">
        <f t="shared" si="68"/>
        <v>1011.1514893353096</v>
      </c>
      <c r="E216" s="21">
        <f t="shared" si="59"/>
        <v>1011.1514893353096</v>
      </c>
      <c r="F216" s="21">
        <f t="shared" si="64"/>
        <v>1011.1514893353096</v>
      </c>
      <c r="G216" s="6">
        <f t="shared" si="60"/>
        <v>2.246209520938856</v>
      </c>
      <c r="H216" s="22">
        <f t="shared" si="61"/>
        <v>613.88327338835052</v>
      </c>
      <c r="I216" s="22">
        <f t="shared" si="70"/>
        <v>0</v>
      </c>
      <c r="J216" s="1">
        <f t="shared" si="69"/>
        <v>0</v>
      </c>
      <c r="K216" s="21">
        <f t="shared" si="62"/>
        <v>1269.2106886015215</v>
      </c>
      <c r="L216" s="3">
        <f t="shared" si="65"/>
        <v>0</v>
      </c>
      <c r="M216">
        <v>0</v>
      </c>
      <c r="N216" s="16">
        <f t="shared" si="63"/>
        <v>19386193019.848557</v>
      </c>
      <c r="O216" s="12"/>
    </row>
    <row r="217" spans="2:16">
      <c r="B217" s="19">
        <f t="shared" si="66"/>
        <v>1.2736830578265042</v>
      </c>
      <c r="C217" s="19">
        <f t="shared" si="67"/>
        <v>1.2736830578265042</v>
      </c>
      <c r="D217" s="21">
        <f t="shared" si="68"/>
        <v>1011.1514893353096</v>
      </c>
      <c r="E217" s="21">
        <f t="shared" si="59"/>
        <v>1011.1514893353096</v>
      </c>
      <c r="F217" s="21">
        <f t="shared" si="64"/>
        <v>1011.1514893353096</v>
      </c>
      <c r="G217" s="6">
        <f t="shared" si="60"/>
        <v>2.246209520938856</v>
      </c>
      <c r="H217" s="22">
        <f t="shared" si="61"/>
        <v>613.88327338835052</v>
      </c>
      <c r="I217" s="22">
        <f t="shared" si="70"/>
        <v>0</v>
      </c>
      <c r="J217" s="1">
        <f t="shared" si="69"/>
        <v>0</v>
      </c>
      <c r="K217" s="21">
        <f t="shared" si="62"/>
        <v>1269.2106886015215</v>
      </c>
      <c r="L217" s="3">
        <f t="shared" si="65"/>
        <v>0</v>
      </c>
      <c r="M217">
        <v>0</v>
      </c>
      <c r="N217" s="16">
        <f t="shared" si="63"/>
        <v>19386193019.848557</v>
      </c>
      <c r="O217" s="12"/>
    </row>
    <row r="218" spans="2:16">
      <c r="B218" s="19">
        <f t="shared" si="66"/>
        <v>1.2736830578265042</v>
      </c>
      <c r="C218" s="19">
        <f t="shared" si="67"/>
        <v>1.2736830578265042</v>
      </c>
      <c r="D218" s="21">
        <f t="shared" si="68"/>
        <v>1011.1514893353096</v>
      </c>
      <c r="E218" s="21">
        <f t="shared" si="59"/>
        <v>1011.1514893353096</v>
      </c>
      <c r="F218" s="21">
        <f t="shared" si="64"/>
        <v>1011.1514893353096</v>
      </c>
      <c r="G218" s="6">
        <f t="shared" si="60"/>
        <v>2.246209520938856</v>
      </c>
      <c r="H218" s="22">
        <f t="shared" si="61"/>
        <v>613.88327338835052</v>
      </c>
      <c r="I218" s="22">
        <f t="shared" si="70"/>
        <v>0</v>
      </c>
      <c r="J218" s="1">
        <f t="shared" si="69"/>
        <v>0</v>
      </c>
      <c r="K218" s="21">
        <f t="shared" si="62"/>
        <v>1269.2106886015215</v>
      </c>
      <c r="L218" s="3">
        <f t="shared" si="65"/>
        <v>0</v>
      </c>
      <c r="M218">
        <v>0</v>
      </c>
      <c r="N218" s="16">
        <f t="shared" si="63"/>
        <v>19386193019.848557</v>
      </c>
      <c r="O218" s="12"/>
    </row>
    <row r="219" spans="2:16">
      <c r="B219" s="19">
        <f t="shared" si="66"/>
        <v>1.2736830578265042</v>
      </c>
      <c r="C219" s="19">
        <f t="shared" si="67"/>
        <v>1.2736830578265042</v>
      </c>
      <c r="D219" s="21">
        <f t="shared" si="68"/>
        <v>1011.1514893353096</v>
      </c>
      <c r="E219" s="21">
        <f t="shared" si="59"/>
        <v>1011.1514893353096</v>
      </c>
      <c r="F219" s="21">
        <f t="shared" si="64"/>
        <v>1011.1514893353096</v>
      </c>
      <c r="G219" s="6">
        <f t="shared" si="60"/>
        <v>2.246209520938856</v>
      </c>
      <c r="H219" s="22">
        <f t="shared" si="61"/>
        <v>613.88327338835052</v>
      </c>
      <c r="I219" s="22">
        <f t="shared" si="70"/>
        <v>0</v>
      </c>
      <c r="J219" s="1">
        <f t="shared" si="69"/>
        <v>0</v>
      </c>
      <c r="K219" s="21">
        <f t="shared" si="62"/>
        <v>1269.2106886015215</v>
      </c>
      <c r="L219" s="3">
        <f t="shared" si="65"/>
        <v>0</v>
      </c>
      <c r="M219">
        <v>0</v>
      </c>
      <c r="N219" s="16">
        <f t="shared" si="63"/>
        <v>19386193019.848557</v>
      </c>
      <c r="O219" s="12"/>
    </row>
    <row r="220" spans="2:16">
      <c r="B220" s="19">
        <f t="shared" si="66"/>
        <v>1.2736830578265042</v>
      </c>
      <c r="C220" s="19">
        <f t="shared" si="67"/>
        <v>1.2736830578265042</v>
      </c>
      <c r="D220" s="21">
        <f t="shared" si="68"/>
        <v>1011.1514893353096</v>
      </c>
      <c r="E220" s="21">
        <f t="shared" si="59"/>
        <v>1011.1514893353096</v>
      </c>
      <c r="F220" s="21">
        <f t="shared" si="64"/>
        <v>1011.1514893353096</v>
      </c>
      <c r="G220" s="6">
        <f t="shared" si="60"/>
        <v>2.246209520938856</v>
      </c>
      <c r="H220" s="22">
        <f t="shared" si="61"/>
        <v>613.88327338835052</v>
      </c>
      <c r="I220" s="22">
        <f t="shared" si="70"/>
        <v>0</v>
      </c>
      <c r="J220" s="1">
        <f t="shared" si="69"/>
        <v>0</v>
      </c>
      <c r="K220" s="21">
        <f t="shared" si="62"/>
        <v>1269.2106886015215</v>
      </c>
      <c r="L220" s="3">
        <f t="shared" si="65"/>
        <v>0</v>
      </c>
      <c r="M220">
        <v>0</v>
      </c>
      <c r="N220" s="16">
        <f t="shared" si="63"/>
        <v>19386193019.848557</v>
      </c>
      <c r="O220" s="12"/>
    </row>
    <row r="221" spans="2:16">
      <c r="B221" s="19">
        <f t="shared" si="66"/>
        <v>1.2736830578265042</v>
      </c>
      <c r="C221" s="19">
        <f>C196*(1-(1-G11)*G10)</f>
        <v>1.2736830578265042</v>
      </c>
      <c r="D221" s="21">
        <f t="shared" si="68"/>
        <v>1011.1514893353096</v>
      </c>
      <c r="E221" s="21">
        <f t="shared" si="59"/>
        <v>1011.1514893353096</v>
      </c>
      <c r="F221" s="21">
        <f>($G$4*$G$8)*$G$10+F192*NOT($G$10)</f>
        <v>1011.1514893353096</v>
      </c>
      <c r="G221" s="6">
        <f t="shared" si="60"/>
        <v>2.246209520938856</v>
      </c>
      <c r="H221" s="22">
        <f t="shared" si="61"/>
        <v>613.88327338835052</v>
      </c>
      <c r="I221" s="22">
        <f t="shared" si="70"/>
        <v>0</v>
      </c>
      <c r="J221" s="1">
        <f t="shared" si="69"/>
        <v>0</v>
      </c>
      <c r="K221" s="21">
        <f t="shared" si="62"/>
        <v>1269.2106886015215</v>
      </c>
      <c r="L221" s="3">
        <v>0</v>
      </c>
      <c r="M221">
        <v>0</v>
      </c>
      <c r="N221" s="16">
        <f t="shared" si="63"/>
        <v>19386193019.848557</v>
      </c>
      <c r="O221" s="12"/>
    </row>
    <row r="222" spans="2:16">
      <c r="B222" s="17"/>
      <c r="C222" s="17"/>
      <c r="G222" s="1"/>
      <c r="H222" s="22"/>
      <c r="I222" s="22"/>
      <c r="J222" s="1"/>
      <c r="K222" s="22"/>
      <c r="M222" s="3"/>
      <c r="O222" s="12"/>
      <c r="P222" s="12"/>
    </row>
    <row r="223" spans="2:16">
      <c r="B223" s="20" t="s">
        <v>125</v>
      </c>
      <c r="C223" s="18" t="s">
        <v>118</v>
      </c>
      <c r="D223" s="14">
        <f>$D$4</f>
        <v>1.3</v>
      </c>
      <c r="E223" s="4" t="s">
        <v>119</v>
      </c>
      <c r="F223" s="4">
        <f>C$4*D223/(D223-1)</f>
        <v>1242.3218390804595</v>
      </c>
      <c r="G223" s="6"/>
      <c r="H223" s="21"/>
      <c r="I223" s="22"/>
      <c r="J223" s="1"/>
      <c r="K223" s="22"/>
      <c r="M223" s="3"/>
      <c r="O223" s="12"/>
      <c r="P223" s="12"/>
    </row>
    <row r="224" spans="2:16">
      <c r="B224" s="17" t="s">
        <v>5</v>
      </c>
      <c r="C224" s="17" t="s">
        <v>121</v>
      </c>
      <c r="D224" t="s">
        <v>41</v>
      </c>
      <c r="E224" t="s">
        <v>123</v>
      </c>
      <c r="F224" t="s">
        <v>143</v>
      </c>
      <c r="G224" s="1" t="s">
        <v>15</v>
      </c>
      <c r="H224" s="22" t="s">
        <v>46</v>
      </c>
      <c r="I224" s="21" t="s">
        <v>47</v>
      </c>
      <c r="J224" s="6" t="s">
        <v>115</v>
      </c>
      <c r="K224" s="22" t="s">
        <v>98</v>
      </c>
      <c r="L224" s="4" t="s">
        <v>45</v>
      </c>
      <c r="M224" s="10" t="s">
        <v>44</v>
      </c>
      <c r="N224" s="10" t="s">
        <v>48</v>
      </c>
      <c r="O224" s="85" t="s">
        <v>79</v>
      </c>
    </row>
    <row r="225" spans="2:15">
      <c r="B225" s="17">
        <f>B221</f>
        <v>1.2736830578265042</v>
      </c>
      <c r="C225" s="17">
        <f>C221</f>
        <v>1.2736830578265042</v>
      </c>
      <c r="D225" s="21">
        <f>D221</f>
        <v>1011.1514893353096</v>
      </c>
      <c r="E225" s="21">
        <f>E221</f>
        <v>1011.1514893353096</v>
      </c>
      <c r="F225" s="21">
        <f t="shared" ref="F225:F250" si="71">E225*(1-$K$7)+$K$7*$H$12</f>
        <v>1009.8299744419564</v>
      </c>
      <c r="G225" s="1">
        <f>G221</f>
        <v>2.246209520938856</v>
      </c>
      <c r="H225" s="22">
        <f>H221</f>
        <v>613.88327338835052</v>
      </c>
      <c r="I225" s="22">
        <f>I221</f>
        <v>0</v>
      </c>
      <c r="J225" s="1">
        <f>J221</f>
        <v>0</v>
      </c>
      <c r="K225" s="21">
        <f t="shared" ref="K225:K250" si="72">$F$136*LN(D225/$G$4)-$C$4*LN(B225/$H$4)</f>
        <v>1269.2106886015215</v>
      </c>
      <c r="L225" s="3">
        <v>0</v>
      </c>
      <c r="M225">
        <v>0</v>
      </c>
      <c r="N225" s="16">
        <f t="shared" ref="N225:N250" si="73">$B$17*G225/(I225+0.0000000001)</f>
        <v>19386193019.848557</v>
      </c>
      <c r="O225" s="12" t="s">
        <v>82</v>
      </c>
    </row>
    <row r="226" spans="2:15">
      <c r="B226" s="17">
        <f>B225+(B$250-B$225)/25</f>
        <v>1.2327357355134441</v>
      </c>
      <c r="C226" s="19">
        <f>C225+(C$250-C$225)/25</f>
        <v>1.2694125301376145</v>
      </c>
      <c r="D226" s="21">
        <f t="shared" ref="D226:D250" si="74">F225*(B226/C226)^((D$223-1)/D$223)</f>
        <v>1003.0207561759607</v>
      </c>
      <c r="E226" s="21">
        <f>F225</f>
        <v>1009.8299744419564</v>
      </c>
      <c r="F226" s="21">
        <f t="shared" si="71"/>
        <v>1008.5216746975368</v>
      </c>
      <c r="G226" s="6">
        <f t="shared" ref="G226:G250" si="75">($C$4*D226)/(101325*B226)</f>
        <v>2.3021591544765383</v>
      </c>
      <c r="H226" s="22">
        <f t="shared" ref="H226:H250" si="76">SQRT($D$136*$C$4*D226)</f>
        <v>611.41015458897789</v>
      </c>
      <c r="I226" s="22">
        <f>H226*J226</f>
        <v>130.07106180017084</v>
      </c>
      <c r="J226" s="1">
        <f>SQRT((2/(D$223-1))*(F225/D226-1))</f>
        <v>0.21273945292519952</v>
      </c>
      <c r="K226" s="21">
        <f t="shared" si="72"/>
        <v>1268.5488417486404</v>
      </c>
      <c r="L226" s="3">
        <v>0</v>
      </c>
      <c r="M226">
        <v>0</v>
      </c>
      <c r="N226" s="16">
        <f t="shared" si="73"/>
        <v>1.5275552513402452E-2</v>
      </c>
      <c r="O226" s="12" t="s">
        <v>83</v>
      </c>
    </row>
    <row r="227" spans="2:15">
      <c r="B227" s="17">
        <f t="shared" ref="B227:B249" si="77">B226+(B$250-B$225)/25</f>
        <v>1.191788413200384</v>
      </c>
      <c r="C227" s="19">
        <f t="shared" ref="C227:C249" si="78">C226+(C$250-C$225)/25</f>
        <v>1.2651420024487248</v>
      </c>
      <c r="D227" s="21">
        <f t="shared" si="74"/>
        <v>994.71589041919913</v>
      </c>
      <c r="E227" s="21">
        <f t="shared" ref="E227:E250" si="79">F226</f>
        <v>1008.5216746975368</v>
      </c>
      <c r="F227" s="21">
        <f t="shared" si="71"/>
        <v>1007.2264579505614</v>
      </c>
      <c r="G227" s="6">
        <f t="shared" si="75"/>
        <v>2.3615400039379804</v>
      </c>
      <c r="H227" s="22">
        <f t="shared" si="76"/>
        <v>608.873699796962</v>
      </c>
      <c r="I227" s="22">
        <f t="shared" ref="I227:I250" si="80">H227*J227</f>
        <v>185.20921853197572</v>
      </c>
      <c r="J227" s="1">
        <f t="shared" ref="J227:J250" si="81">SQRT((2/(D$223-1))*(F226/D227-1))</f>
        <v>0.30418331189824177</v>
      </c>
      <c r="K227" s="21">
        <f t="shared" si="72"/>
        <v>1267.9043908679478</v>
      </c>
      <c r="L227" s="3">
        <v>0</v>
      </c>
      <c r="M227">
        <v>0</v>
      </c>
      <c r="N227" s="16">
        <f t="shared" si="73"/>
        <v>1.100461811846655E-2</v>
      </c>
      <c r="O227" s="12" t="s">
        <v>69</v>
      </c>
    </row>
    <row r="228" spans="2:15">
      <c r="B228" s="17">
        <f t="shared" si="77"/>
        <v>1.1508410908873239</v>
      </c>
      <c r="C228" s="19">
        <f t="shared" si="78"/>
        <v>1.2608714747598351</v>
      </c>
      <c r="D228" s="21">
        <f t="shared" si="74"/>
        <v>986.22467776715439</v>
      </c>
      <c r="E228" s="21">
        <f t="shared" si="79"/>
        <v>1007.2264579505614</v>
      </c>
      <c r="F228" s="21">
        <f t="shared" si="71"/>
        <v>1005.9441933710558</v>
      </c>
      <c r="G228" s="6">
        <f t="shared" si="75"/>
        <v>2.4246882913240606</v>
      </c>
      <c r="H228" s="22">
        <f t="shared" si="76"/>
        <v>606.26935979733253</v>
      </c>
      <c r="I228" s="22">
        <f t="shared" si="80"/>
        <v>228.43366731466631</v>
      </c>
      <c r="J228" s="1">
        <f t="shared" si="81"/>
        <v>0.37678576959757382</v>
      </c>
      <c r="K228" s="21">
        <f t="shared" si="72"/>
        <v>1267.2772527610791</v>
      </c>
      <c r="L228" s="3">
        <v>0</v>
      </c>
      <c r="M228">
        <v>0</v>
      </c>
      <c r="N228" s="16">
        <f t="shared" si="73"/>
        <v>9.1608985141392874E-3</v>
      </c>
      <c r="O228" s="12" t="s">
        <v>126</v>
      </c>
    </row>
    <row r="229" spans="2:15">
      <c r="B229" s="17">
        <f t="shared" si="77"/>
        <v>1.1098937685742638</v>
      </c>
      <c r="C229" s="19">
        <f t="shared" si="78"/>
        <v>1.2566009470709454</v>
      </c>
      <c r="D229" s="21">
        <f t="shared" si="74"/>
        <v>977.53370639459547</v>
      </c>
      <c r="E229" s="21">
        <f t="shared" si="79"/>
        <v>1005.9441933710558</v>
      </c>
      <c r="F229" s="21">
        <f t="shared" si="71"/>
        <v>1004.6747514373452</v>
      </c>
      <c r="G229" s="6">
        <f t="shared" si="75"/>
        <v>2.4919868027950631</v>
      </c>
      <c r="H229" s="22">
        <f t="shared" si="76"/>
        <v>603.59211522963221</v>
      </c>
      <c r="I229" s="22">
        <f t="shared" si="80"/>
        <v>265.68766787251349</v>
      </c>
      <c r="J229" s="1">
        <f t="shared" si="81"/>
        <v>0.44017749928929167</v>
      </c>
      <c r="K229" s="21">
        <f t="shared" si="72"/>
        <v>1266.6673449189084</v>
      </c>
      <c r="L229" s="3">
        <v>0</v>
      </c>
      <c r="M229">
        <v>0</v>
      </c>
      <c r="N229" s="16">
        <f t="shared" si="73"/>
        <v>8.0949954703454664E-3</v>
      </c>
      <c r="O229" s="12" t="s">
        <v>16</v>
      </c>
    </row>
    <row r="230" spans="2:15">
      <c r="B230" s="17">
        <f t="shared" si="77"/>
        <v>1.0689464462612037</v>
      </c>
      <c r="C230" s="19">
        <f t="shared" si="78"/>
        <v>1.2523304193820557</v>
      </c>
      <c r="D230" s="21">
        <f t="shared" si="74"/>
        <v>968.62819773222407</v>
      </c>
      <c r="E230" s="21">
        <f t="shared" si="79"/>
        <v>1004.6747514373452</v>
      </c>
      <c r="F230" s="21">
        <f t="shared" si="71"/>
        <v>1003.4180039229717</v>
      </c>
      <c r="G230" s="6">
        <f t="shared" si="75"/>
        <v>2.5638733592590168</v>
      </c>
      <c r="H230" s="22">
        <f t="shared" si="76"/>
        <v>600.83640801599756</v>
      </c>
      <c r="I230" s="22">
        <f t="shared" si="80"/>
        <v>299.27051606016499</v>
      </c>
      <c r="J230" s="1">
        <f t="shared" si="81"/>
        <v>0.49808984952888669</v>
      </c>
      <c r="K230" s="21">
        <f t="shared" si="72"/>
        <v>1266.0745855281621</v>
      </c>
      <c r="L230" s="3">
        <v>0</v>
      </c>
      <c r="M230">
        <v>0</v>
      </c>
      <c r="N230" s="16">
        <f t="shared" si="73"/>
        <v>7.3939227002321854E-3</v>
      </c>
      <c r="O230" s="13" t="s">
        <v>149</v>
      </c>
    </row>
    <row r="231" spans="2:15">
      <c r="B231" s="17">
        <f t="shared" si="77"/>
        <v>1.0279991239481436</v>
      </c>
      <c r="C231" s="19">
        <f t="shared" si="78"/>
        <v>1.248059891693166</v>
      </c>
      <c r="D231" s="21">
        <f t="shared" si="74"/>
        <v>959.49180585944964</v>
      </c>
      <c r="E231" s="21">
        <f t="shared" si="79"/>
        <v>1003.4180039229717</v>
      </c>
      <c r="F231" s="21">
        <f t="shared" si="71"/>
        <v>1002.173823883742</v>
      </c>
      <c r="G231" s="6">
        <f t="shared" si="75"/>
        <v>2.6408512249684049</v>
      </c>
      <c r="H231" s="22">
        <f t="shared" si="76"/>
        <v>597.99605972897757</v>
      </c>
      <c r="I231" s="22">
        <f t="shared" si="80"/>
        <v>330.36487453144048</v>
      </c>
      <c r="J231" s="1">
        <f t="shared" si="81"/>
        <v>0.5524532631221144</v>
      </c>
      <c r="K231" s="21">
        <f t="shared" si="72"/>
        <v>1265.4988934779703</v>
      </c>
      <c r="L231" s="3">
        <v>0</v>
      </c>
      <c r="M231">
        <v>0</v>
      </c>
      <c r="N231" s="16">
        <f t="shared" si="73"/>
        <v>6.8990983923430237E-3</v>
      </c>
      <c r="O231" s="12" t="s">
        <v>150</v>
      </c>
    </row>
    <row r="232" spans="2:15">
      <c r="B232" s="17">
        <f t="shared" si="77"/>
        <v>0.98705180163508344</v>
      </c>
      <c r="C232" s="19">
        <f t="shared" si="78"/>
        <v>1.2437893640042763</v>
      </c>
      <c r="D232" s="21">
        <f t="shared" si="74"/>
        <v>950.10637817390011</v>
      </c>
      <c r="E232" s="21">
        <f t="shared" si="79"/>
        <v>1002.173823883742</v>
      </c>
      <c r="F232" s="21">
        <f t="shared" si="71"/>
        <v>1000.9420856449045</v>
      </c>
      <c r="G232" s="6">
        <f t="shared" si="75"/>
        <v>2.723501995886545</v>
      </c>
      <c r="H232" s="22">
        <f t="shared" si="76"/>
        <v>595.06417378004051</v>
      </c>
      <c r="I232" s="22">
        <f t="shared" si="80"/>
        <v>359.67909283268818</v>
      </c>
      <c r="J232" s="1">
        <f t="shared" si="81"/>
        <v>0.60443748536883002</v>
      </c>
      <c r="K232" s="21">
        <f t="shared" si="72"/>
        <v>1264.9401883663459</v>
      </c>
      <c r="L232" s="3">
        <v>0</v>
      </c>
      <c r="M232">
        <v>0</v>
      </c>
      <c r="N232" s="16">
        <f t="shared" si="73"/>
        <v>6.535138144424712E-3</v>
      </c>
      <c r="O232" s="12" t="s">
        <v>32</v>
      </c>
    </row>
    <row r="233" spans="2:15">
      <c r="B233" s="17">
        <f t="shared" si="77"/>
        <v>0.94610447932202324</v>
      </c>
      <c r="C233" s="19">
        <f t="shared" si="78"/>
        <v>1.2395188363153866</v>
      </c>
      <c r="D233" s="21">
        <f t="shared" si="74"/>
        <v>940.45166790979658</v>
      </c>
      <c r="E233" s="21">
        <f t="shared" si="79"/>
        <v>1000.9420856449045</v>
      </c>
      <c r="F233" s="21">
        <f t="shared" si="71"/>
        <v>999.7226647884554</v>
      </c>
      <c r="G233" s="6">
        <f t="shared" si="75"/>
        <v>2.812501690898324</v>
      </c>
      <c r="H233" s="22">
        <f t="shared" si="76"/>
        <v>592.03301740122174</v>
      </c>
      <c r="I233" s="22">
        <f t="shared" si="80"/>
        <v>387.68174320549218</v>
      </c>
      <c r="J233" s="1">
        <f t="shared" si="81"/>
        <v>0.65483128780089583</v>
      </c>
      <c r="K233" s="21">
        <f t="shared" si="72"/>
        <v>1264.3983905066016</v>
      </c>
      <c r="L233" s="3">
        <v>0</v>
      </c>
      <c r="M233">
        <v>0</v>
      </c>
      <c r="N233" s="16">
        <f t="shared" si="73"/>
        <v>6.2612307775568553E-3</v>
      </c>
      <c r="O233" s="13" t="s">
        <v>17</v>
      </c>
    </row>
    <row r="234" spans="2:15">
      <c r="B234" s="17">
        <f t="shared" si="77"/>
        <v>0.90515715700896304</v>
      </c>
      <c r="C234" s="19">
        <f t="shared" si="78"/>
        <v>1.2352483086264969</v>
      </c>
      <c r="D234" s="21">
        <f t="shared" si="74"/>
        <v>930.50498626468982</v>
      </c>
      <c r="E234" s="21">
        <f t="shared" si="79"/>
        <v>999.7226647884554</v>
      </c>
      <c r="F234" s="21">
        <f t="shared" si="71"/>
        <v>998.51543814057084</v>
      </c>
      <c r="G234" s="6">
        <f t="shared" si="75"/>
        <v>2.9086410218305634</v>
      </c>
      <c r="H234" s="22">
        <f t="shared" si="76"/>
        <v>588.89387816733688</v>
      </c>
      <c r="I234" s="22">
        <f t="shared" si="80"/>
        <v>414.70624224991968</v>
      </c>
      <c r="J234" s="1">
        <f t="shared" si="81"/>
        <v>0.70421218087799342</v>
      </c>
      <c r="K234" s="21">
        <f t="shared" si="72"/>
        <v>1263.8734209337044</v>
      </c>
      <c r="L234" s="3">
        <v>0</v>
      </c>
      <c r="M234">
        <v>0</v>
      </c>
      <c r="N234" s="16">
        <f t="shared" si="73"/>
        <v>6.0532947473946035E-3</v>
      </c>
      <c r="O234" s="12"/>
    </row>
    <row r="235" spans="2:15">
      <c r="B235" s="17">
        <f t="shared" si="77"/>
        <v>0.86420983469590285</v>
      </c>
      <c r="C235" s="19">
        <f t="shared" si="78"/>
        <v>1.2309777809376072</v>
      </c>
      <c r="D235" s="21">
        <f t="shared" si="74"/>
        <v>920.24077807373442</v>
      </c>
      <c r="E235" s="21">
        <f t="shared" si="79"/>
        <v>998.51543814057084</v>
      </c>
      <c r="F235" s="21">
        <f t="shared" si="71"/>
        <v>997.32028375916514</v>
      </c>
      <c r="G235" s="6">
        <f t="shared" si="75"/>
        <v>3.0128511756790428</v>
      </c>
      <c r="H235" s="22">
        <f t="shared" si="76"/>
        <v>585.63688813463455</v>
      </c>
      <c r="I235" s="22">
        <f t="shared" si="80"/>
        <v>441.00412616579928</v>
      </c>
      <c r="J235" s="1">
        <f t="shared" si="81"/>
        <v>0.75303338143620313</v>
      </c>
      <c r="K235" s="21">
        <f t="shared" si="72"/>
        <v>1263.3652014105726</v>
      </c>
      <c r="L235" s="3">
        <v>0</v>
      </c>
      <c r="M235">
        <v>0</v>
      </c>
      <c r="N235" s="16">
        <f t="shared" si="73"/>
        <v>5.8962690915197631E-3</v>
      </c>
      <c r="O235" s="12"/>
    </row>
    <row r="236" spans="2:15">
      <c r="B236" s="17">
        <f t="shared" si="77"/>
        <v>0.82326251238284265</v>
      </c>
      <c r="C236" s="19">
        <f t="shared" si="78"/>
        <v>1.2267072532487175</v>
      </c>
      <c r="D236" s="21">
        <f t="shared" si="74"/>
        <v>909.6300997153528</v>
      </c>
      <c r="E236" s="21">
        <f t="shared" si="79"/>
        <v>997.32028375916514</v>
      </c>
      <c r="F236" s="21">
        <f t="shared" si="71"/>
        <v>996.13708092157344</v>
      </c>
      <c r="G236" s="6">
        <f t="shared" si="75"/>
        <v>3.1262369549402584</v>
      </c>
      <c r="H236" s="22">
        <f t="shared" si="76"/>
        <v>582.25080636130997</v>
      </c>
      <c r="I236" s="22">
        <f t="shared" si="80"/>
        <v>466.77495800570279</v>
      </c>
      <c r="J236" s="1">
        <f t="shared" si="81"/>
        <v>0.80167335606238765</v>
      </c>
      <c r="K236" s="21">
        <f t="shared" si="72"/>
        <v>1262.8736544343119</v>
      </c>
      <c r="L236" s="3">
        <v>0</v>
      </c>
      <c r="M236">
        <v>0</v>
      </c>
      <c r="N236" s="16">
        <f t="shared" si="73"/>
        <v>5.7803829684824944E-3</v>
      </c>
      <c r="O236" s="12"/>
    </row>
    <row r="237" spans="2:15">
      <c r="B237" s="17">
        <f t="shared" si="77"/>
        <v>0.78231519006978245</v>
      </c>
      <c r="C237" s="19">
        <f t="shared" si="78"/>
        <v>1.2224367255598279</v>
      </c>
      <c r="D237" s="21">
        <f t="shared" si="74"/>
        <v>898.63997060235215</v>
      </c>
      <c r="E237" s="21">
        <f t="shared" si="79"/>
        <v>996.13708092157344</v>
      </c>
      <c r="F237" s="21">
        <f t="shared" si="71"/>
        <v>994.96571011235767</v>
      </c>
      <c r="G237" s="6">
        <f t="shared" si="75"/>
        <v>3.2501198683685022</v>
      </c>
      <c r="H237" s="22">
        <f t="shared" si="76"/>
        <v>578.72274733673407</v>
      </c>
      <c r="I237" s="22">
        <f t="shared" si="80"/>
        <v>492.18449670180689</v>
      </c>
      <c r="J237" s="1">
        <f t="shared" si="81"/>
        <v>0.85046682365057569</v>
      </c>
      <c r="K237" s="21">
        <f t="shared" si="72"/>
        <v>1262.3987032423993</v>
      </c>
      <c r="L237" s="3">
        <v>0</v>
      </c>
      <c r="M237">
        <v>0</v>
      </c>
      <c r="N237" s="16">
        <f t="shared" si="73"/>
        <v>5.6991976352473292E-3</v>
      </c>
      <c r="O237" s="12"/>
    </row>
    <row r="238" spans="2:15">
      <c r="B238" s="17">
        <f t="shared" si="77"/>
        <v>0.74136786775672225</v>
      </c>
      <c r="C238" s="19">
        <f t="shared" si="78"/>
        <v>1.2181661978709382</v>
      </c>
      <c r="D238" s="21">
        <f t="shared" si="74"/>
        <v>887.23255923424142</v>
      </c>
      <c r="E238" s="21">
        <f t="shared" si="79"/>
        <v>994.96571011235767</v>
      </c>
      <c r="F238" s="21">
        <f t="shared" si="71"/>
        <v>993.8060530112341</v>
      </c>
      <c r="G238" s="6">
        <f t="shared" si="75"/>
        <v>3.3860948703053602</v>
      </c>
      <c r="H238" s="22">
        <f t="shared" si="76"/>
        <v>575.03783823674053</v>
      </c>
      <c r="I238" s="22">
        <f t="shared" si="80"/>
        <v>517.3765478427373</v>
      </c>
      <c r="J238" s="1">
        <f t="shared" si="81"/>
        <v>0.89972609355444833</v>
      </c>
      <c r="K238" s="21">
        <f t="shared" si="72"/>
        <v>1261.9402718188167</v>
      </c>
      <c r="L238" s="3">
        <v>0</v>
      </c>
      <c r="M238">
        <v>0</v>
      </c>
      <c r="N238" s="16">
        <f t="shared" si="73"/>
        <v>5.6485197539279282E-3</v>
      </c>
      <c r="O238" s="12"/>
    </row>
    <row r="239" spans="2:15">
      <c r="B239" s="17">
        <f t="shared" si="77"/>
        <v>0.70042054544366206</v>
      </c>
      <c r="C239" s="19">
        <f t="shared" si="78"/>
        <v>1.2138956701820485</v>
      </c>
      <c r="D239" s="21">
        <f t="shared" si="74"/>
        <v>875.36414984715179</v>
      </c>
      <c r="E239" s="21">
        <f t="shared" si="79"/>
        <v>993.8060530112341</v>
      </c>
      <c r="F239" s="21">
        <f t="shared" si="71"/>
        <v>992.65799248112171</v>
      </c>
      <c r="G239" s="6">
        <f t="shared" si="75"/>
        <v>3.5361061159605649</v>
      </c>
      <c r="H239" s="22">
        <f t="shared" si="76"/>
        <v>571.17878125063874</v>
      </c>
      <c r="I239" s="22">
        <f t="shared" si="80"/>
        <v>542.48126781114286</v>
      </c>
      <c r="J239" s="1">
        <f t="shared" si="81"/>
        <v>0.94975738878699156</v>
      </c>
      <c r="K239" s="21">
        <f t="shared" si="72"/>
        <v>1261.4982849001317</v>
      </c>
      <c r="L239" s="3">
        <v>0</v>
      </c>
      <c r="M239">
        <v>0</v>
      </c>
      <c r="N239" s="16">
        <f t="shared" si="73"/>
        <v>5.625780868389196E-3</v>
      </c>
      <c r="O239" s="12"/>
    </row>
    <row r="240" spans="2:15">
      <c r="B240" s="17">
        <f t="shared" si="77"/>
        <v>0.65947322313060186</v>
      </c>
      <c r="C240" s="19">
        <f t="shared" si="78"/>
        <v>1.2096251424931588</v>
      </c>
      <c r="D240" s="21">
        <f t="shared" si="74"/>
        <v>862.98381379835246</v>
      </c>
      <c r="E240" s="21">
        <f t="shared" si="79"/>
        <v>992.65799248112171</v>
      </c>
      <c r="F240" s="21">
        <f t="shared" si="71"/>
        <v>991.52141255631045</v>
      </c>
      <c r="G240" s="6">
        <f t="shared" si="75"/>
        <v>3.7025496721912807</v>
      </c>
      <c r="H240" s="22">
        <f t="shared" si="76"/>
        <v>567.12528738929586</v>
      </c>
      <c r="I240" s="22">
        <f t="shared" si="80"/>
        <v>567.62146566602985</v>
      </c>
      <c r="J240" s="1">
        <f t="shared" si="81"/>
        <v>1.0008749006397124</v>
      </c>
      <c r="K240" s="21">
        <f t="shared" si="72"/>
        <v>1261.0726679815357</v>
      </c>
      <c r="L240" s="3">
        <v>0</v>
      </c>
      <c r="M240">
        <v>0</v>
      </c>
      <c r="N240" s="16">
        <f t="shared" si="73"/>
        <v>5.6296883225207661E-3</v>
      </c>
      <c r="O240" s="12"/>
    </row>
    <row r="241" spans="2:15">
      <c r="B241" s="17">
        <f t="shared" si="77"/>
        <v>0.61852590081754166</v>
      </c>
      <c r="C241" s="19">
        <f t="shared" si="78"/>
        <v>1.2053546148042691</v>
      </c>
      <c r="D241" s="21">
        <f t="shared" si="74"/>
        <v>850.03167706782551</v>
      </c>
      <c r="E241" s="21">
        <f t="shared" si="79"/>
        <v>991.52141255631045</v>
      </c>
      <c r="F241" s="21">
        <f t="shared" si="71"/>
        <v>990.39619843074729</v>
      </c>
      <c r="G241" s="6">
        <f t="shared" si="75"/>
        <v>3.888415178370781</v>
      </c>
      <c r="H241" s="22">
        <f t="shared" si="76"/>
        <v>562.85333338220937</v>
      </c>
      <c r="I241" s="22">
        <f t="shared" si="80"/>
        <v>592.9178499641622</v>
      </c>
      <c r="J241" s="1">
        <f t="shared" si="81"/>
        <v>1.053414477269405</v>
      </c>
      <c r="K241" s="21">
        <f t="shared" si="72"/>
        <v>1260.6633473228362</v>
      </c>
      <c r="L241" s="3">
        <v>0</v>
      </c>
      <c r="M241">
        <v>0</v>
      </c>
      <c r="N241" s="16">
        <f t="shared" si="73"/>
        <v>5.6600513773617861E-3</v>
      </c>
      <c r="O241" s="12"/>
    </row>
    <row r="242" spans="2:15">
      <c r="B242" s="17">
        <f t="shared" si="77"/>
        <v>0.57757857850448147</v>
      </c>
      <c r="C242" s="19">
        <f t="shared" si="78"/>
        <v>1.2010840871153794</v>
      </c>
      <c r="D242" s="21">
        <f t="shared" si="74"/>
        <v>836.43662515955657</v>
      </c>
      <c r="E242" s="21">
        <f t="shared" si="79"/>
        <v>990.39619843074729</v>
      </c>
      <c r="F242" s="21">
        <f t="shared" si="71"/>
        <v>989.28223644643981</v>
      </c>
      <c r="G242" s="6">
        <f t="shared" si="75"/>
        <v>4.0974850093453137</v>
      </c>
      <c r="H242" s="22">
        <f t="shared" si="76"/>
        <v>558.33417048640501</v>
      </c>
      <c r="I242" s="22">
        <f t="shared" si="80"/>
        <v>618.49388066545737</v>
      </c>
      <c r="J242" s="1">
        <f t="shared" si="81"/>
        <v>1.1077485730931405</v>
      </c>
      <c r="K242" s="21">
        <f t="shared" si="72"/>
        <v>1260.2702499544055</v>
      </c>
      <c r="L242" s="3">
        <v>0</v>
      </c>
      <c r="M242">
        <v>0</v>
      </c>
      <c r="N242" s="16">
        <f t="shared" si="73"/>
        <v>5.7177377884495362E-3</v>
      </c>
      <c r="O242" s="12"/>
    </row>
    <row r="243" spans="2:15">
      <c r="B243" s="17">
        <f t="shared" si="77"/>
        <v>0.53663125619142127</v>
      </c>
      <c r="C243" s="19">
        <f t="shared" si="78"/>
        <v>1.1968135594264897</v>
      </c>
      <c r="D243" s="21">
        <f t="shared" si="74"/>
        <v>822.11320810821564</v>
      </c>
      <c r="E243" s="21">
        <f t="shared" si="79"/>
        <v>989.28223644643981</v>
      </c>
      <c r="F243" s="21">
        <f t="shared" si="71"/>
        <v>988.17941408197532</v>
      </c>
      <c r="G243" s="6">
        <f t="shared" si="75"/>
        <v>4.334620402970188</v>
      </c>
      <c r="H243" s="22">
        <f t="shared" si="76"/>
        <v>553.53297804990859</v>
      </c>
      <c r="I243" s="22">
        <f t="shared" si="80"/>
        <v>644.48077507779249</v>
      </c>
      <c r="J243" s="1">
        <f t="shared" si="81"/>
        <v>1.1643042070380198</v>
      </c>
      <c r="K243" s="21">
        <f t="shared" si="72"/>
        <v>1259.8933036830992</v>
      </c>
      <c r="L243" s="3">
        <v>0</v>
      </c>
      <c r="M243">
        <v>0</v>
      </c>
      <c r="N243" s="16">
        <f t="shared" si="73"/>
        <v>5.8047480297432237E-3</v>
      </c>
      <c r="O243" s="12"/>
    </row>
    <row r="244" spans="2:15">
      <c r="B244" s="17">
        <f t="shared" si="77"/>
        <v>0.49568393387836107</v>
      </c>
      <c r="C244" s="19">
        <f t="shared" si="78"/>
        <v>1.1925430317376</v>
      </c>
      <c r="D244" s="21">
        <f t="shared" si="74"/>
        <v>806.95738151810974</v>
      </c>
      <c r="E244" s="21">
        <f t="shared" si="79"/>
        <v>988.17941408197532</v>
      </c>
      <c r="F244" s="21">
        <f t="shared" si="71"/>
        <v>987.08761994115548</v>
      </c>
      <c r="G244" s="6">
        <f t="shared" si="75"/>
        <v>4.6061827616867008</v>
      </c>
      <c r="H244" s="22">
        <f t="shared" si="76"/>
        <v>548.40699619911777</v>
      </c>
      <c r="I244" s="22">
        <f t="shared" si="80"/>
        <v>671.02323175377558</v>
      </c>
      <c r="J244" s="1">
        <f t="shared" si="81"/>
        <v>1.2235861985796728</v>
      </c>
      <c r="K244" s="21">
        <f t="shared" si="72"/>
        <v>1259.5324370981284</v>
      </c>
      <c r="L244" s="3">
        <v>0</v>
      </c>
      <c r="M244">
        <v>0</v>
      </c>
      <c r="N244" s="16">
        <f t="shared" si="73"/>
        <v>5.9244205285346107E-3</v>
      </c>
      <c r="O244" s="12"/>
    </row>
    <row r="245" spans="2:15">
      <c r="B245" s="17">
        <f t="shared" si="77"/>
        <v>0.45473661156530087</v>
      </c>
      <c r="C245" s="19">
        <f t="shared" si="78"/>
        <v>1.1882725040487103</v>
      </c>
      <c r="D245" s="21">
        <f t="shared" si="74"/>
        <v>790.84050831835509</v>
      </c>
      <c r="E245" s="21">
        <f t="shared" si="79"/>
        <v>987.08761994115548</v>
      </c>
      <c r="F245" s="21">
        <f t="shared" si="71"/>
        <v>986.00674374174389</v>
      </c>
      <c r="G245" s="6">
        <f t="shared" si="75"/>
        <v>4.9206717518776308</v>
      </c>
      <c r="H245" s="22">
        <f t="shared" si="76"/>
        <v>542.90287383105215</v>
      </c>
      <c r="I245" s="22">
        <f t="shared" si="80"/>
        <v>698.28657816897157</v>
      </c>
      <c r="J245" s="1">
        <f t="shared" si="81"/>
        <v>1.2862090289584169</v>
      </c>
      <c r="K245" s="21">
        <f t="shared" si="72"/>
        <v>1259.1875795769079</v>
      </c>
      <c r="L245" s="3">
        <v>0</v>
      </c>
      <c r="M245">
        <v>0</v>
      </c>
      <c r="N245" s="16">
        <f t="shared" si="73"/>
        <v>6.0818116942529679E-3</v>
      </c>
      <c r="O245" s="12"/>
    </row>
    <row r="246" spans="2:15">
      <c r="B246" s="17">
        <f t="shared" si="77"/>
        <v>0.41378928925224068</v>
      </c>
      <c r="C246" s="19">
        <f t="shared" si="78"/>
        <v>1.1840019763598206</v>
      </c>
      <c r="D246" s="21">
        <f t="shared" si="74"/>
        <v>773.60068067659518</v>
      </c>
      <c r="E246" s="21">
        <f t="shared" si="79"/>
        <v>986.00674374174389</v>
      </c>
      <c r="F246" s="21">
        <f t="shared" si="71"/>
        <v>984.9366763043264</v>
      </c>
      <c r="G246" s="6">
        <f t="shared" si="75"/>
        <v>5.2897239451744333</v>
      </c>
      <c r="H246" s="22">
        <f t="shared" si="76"/>
        <v>536.95279690081975</v>
      </c>
      <c r="I246" s="22">
        <f t="shared" si="80"/>
        <v>726.46636659784269</v>
      </c>
      <c r="J246" s="1">
        <f t="shared" si="81"/>
        <v>1.352942699602006</v>
      </c>
      <c r="K246" s="21">
        <f t="shared" si="72"/>
        <v>1258.8586612908719</v>
      </c>
      <c r="L246" s="3">
        <v>0</v>
      </c>
      <c r="M246">
        <v>0</v>
      </c>
      <c r="N246" s="16">
        <f t="shared" si="73"/>
        <v>6.2843413150633015E-3</v>
      </c>
      <c r="O246" s="12"/>
    </row>
    <row r="247" spans="2:15">
      <c r="B247" s="17">
        <f t="shared" si="77"/>
        <v>0.37284196693918048</v>
      </c>
      <c r="C247" s="19">
        <f t="shared" si="78"/>
        <v>1.1797314486709309</v>
      </c>
      <c r="D247" s="21">
        <f t="shared" si="74"/>
        <v>755.02976228481498</v>
      </c>
      <c r="E247" s="21">
        <f t="shared" si="79"/>
        <v>984.9366763043264</v>
      </c>
      <c r="F247" s="21">
        <f t="shared" si="71"/>
        <v>983.87730954128313</v>
      </c>
      <c r="G247" s="6">
        <f t="shared" si="75"/>
        <v>5.7297370366489995</v>
      </c>
      <c r="H247" s="22">
        <f t="shared" si="76"/>
        <v>530.46865020719758</v>
      </c>
      <c r="I247" s="22">
        <f t="shared" si="80"/>
        <v>755.80206435551975</v>
      </c>
      <c r="J247" s="1">
        <f t="shared" si="81"/>
        <v>1.4247817737397082</v>
      </c>
      <c r="K247" s="21">
        <f t="shared" si="72"/>
        <v>1258.5456132112602</v>
      </c>
      <c r="L247" s="3">
        <v>0</v>
      </c>
      <c r="M247">
        <v>0</v>
      </c>
      <c r="N247" s="16">
        <f t="shared" si="73"/>
        <v>6.5428789529125026E-3</v>
      </c>
      <c r="O247" s="12"/>
    </row>
    <row r="248" spans="2:15">
      <c r="B248" s="17">
        <f t="shared" si="77"/>
        <v>0.33189464462612028</v>
      </c>
      <c r="C248" s="19">
        <f t="shared" si="78"/>
        <v>1.1754609209820412</v>
      </c>
      <c r="D248" s="21">
        <f t="shared" si="74"/>
        <v>734.85329965744836</v>
      </c>
      <c r="E248" s="21">
        <f t="shared" si="79"/>
        <v>983.87730954128313</v>
      </c>
      <c r="F248" s="21">
        <f t="shared" si="71"/>
        <v>982.82853644587021</v>
      </c>
      <c r="G248" s="6">
        <f t="shared" si="75"/>
        <v>6.2646355934732192</v>
      </c>
      <c r="H248" s="22">
        <f t="shared" si="76"/>
        <v>523.332868072927</v>
      </c>
      <c r="I248" s="22">
        <f t="shared" si="80"/>
        <v>786.59769378517262</v>
      </c>
      <c r="J248" s="1">
        <f t="shared" si="81"/>
        <v>1.5030542543251064</v>
      </c>
      <c r="K248" s="21">
        <f t="shared" si="72"/>
        <v>1258.2483671148855</v>
      </c>
      <c r="L248" s="3">
        <v>0</v>
      </c>
      <c r="M248">
        <v>0</v>
      </c>
      <c r="N248" s="16">
        <f t="shared" si="73"/>
        <v>6.8736183325123585E-3</v>
      </c>
      <c r="O248" s="12"/>
    </row>
    <row r="249" spans="2:15">
      <c r="B249" s="17">
        <f t="shared" si="77"/>
        <v>0.29094732231306009</v>
      </c>
      <c r="C249" s="19">
        <f t="shared" si="78"/>
        <v>1.1711903932931516</v>
      </c>
      <c r="D249" s="21">
        <f t="shared" si="74"/>
        <v>712.69792669210915</v>
      </c>
      <c r="E249" s="21">
        <f t="shared" si="79"/>
        <v>982.82853644587021</v>
      </c>
      <c r="F249" s="21">
        <f t="shared" si="71"/>
        <v>981.7902510814115</v>
      </c>
      <c r="G249" s="6">
        <f t="shared" si="75"/>
        <v>6.93085065231418</v>
      </c>
      <c r="H249" s="22">
        <f t="shared" si="76"/>
        <v>515.38341038404747</v>
      </c>
      <c r="I249" s="22">
        <f t="shared" si="80"/>
        <v>819.25472949653249</v>
      </c>
      <c r="J249" s="1">
        <f t="shared" si="81"/>
        <v>1.5896024454610398</v>
      </c>
      <c r="K249" s="21">
        <f t="shared" si="72"/>
        <v>1257.966855589877</v>
      </c>
      <c r="L249" s="3">
        <v>0</v>
      </c>
      <c r="M249">
        <v>0</v>
      </c>
      <c r="N249" s="16">
        <f t="shared" si="73"/>
        <v>7.3014623853012821E-3</v>
      </c>
      <c r="O249" s="12"/>
    </row>
    <row r="250" spans="2:15">
      <c r="B250" s="19">
        <f>H8</f>
        <v>0.25</v>
      </c>
      <c r="C250" s="19">
        <f>C225*H11^(D$223/(D$223-1))</f>
        <v>1.166919865604261</v>
      </c>
      <c r="D250" s="21">
        <f t="shared" si="74"/>
        <v>688.03540469555298</v>
      </c>
      <c r="E250" s="21">
        <f t="shared" si="79"/>
        <v>981.7902510814115</v>
      </c>
      <c r="F250" s="21">
        <f t="shared" si="71"/>
        <v>980.76234857059728</v>
      </c>
      <c r="G250" s="6">
        <f t="shared" si="75"/>
        <v>7.7869285139335904</v>
      </c>
      <c r="H250" s="22">
        <f t="shared" si="76"/>
        <v>506.38762109095273</v>
      </c>
      <c r="I250" s="22">
        <f t="shared" si="80"/>
        <v>854.32787734086912</v>
      </c>
      <c r="J250" s="1">
        <f t="shared" si="81"/>
        <v>1.6871026102500688</v>
      </c>
      <c r="K250" s="21">
        <f t="shared" si="72"/>
        <v>1257.7010120414059</v>
      </c>
      <c r="L250" s="3">
        <v>0</v>
      </c>
      <c r="M250">
        <v>0</v>
      </c>
      <c r="N250" s="16">
        <f t="shared" si="73"/>
        <v>7.8665422330026959E-3</v>
      </c>
      <c r="O250" s="12"/>
    </row>
    <row r="251" spans="2:15">
      <c r="B251" s="17"/>
      <c r="C251" s="17"/>
      <c r="D251" s="1"/>
      <c r="E251" s="1"/>
      <c r="F251" s="1"/>
      <c r="G251" s="1"/>
      <c r="H251" s="22"/>
      <c r="I251" s="22"/>
      <c r="J251" s="1"/>
      <c r="K251" s="22"/>
      <c r="L251" s="1"/>
      <c r="M251" s="1"/>
      <c r="O251" s="12"/>
    </row>
    <row r="252" spans="2:15">
      <c r="B252" s="20" t="s">
        <v>53</v>
      </c>
      <c r="C252" s="18" t="s">
        <v>118</v>
      </c>
      <c r="D252" s="14">
        <f>$D$4</f>
        <v>1.3</v>
      </c>
      <c r="E252" s="4" t="s">
        <v>119</v>
      </c>
      <c r="F252" s="4">
        <f>C$4*D252/(D252-1)</f>
        <v>1242.3218390804595</v>
      </c>
      <c r="G252" s="6"/>
      <c r="H252" s="21"/>
      <c r="I252" s="22"/>
      <c r="J252" s="1"/>
      <c r="K252" s="22"/>
      <c r="M252" s="1"/>
      <c r="O252" s="12"/>
    </row>
    <row r="253" spans="2:15">
      <c r="B253" s="17" t="s">
        <v>5</v>
      </c>
      <c r="C253" s="17" t="s">
        <v>122</v>
      </c>
      <c r="D253" t="s">
        <v>41</v>
      </c>
      <c r="E253" t="s">
        <v>123</v>
      </c>
      <c r="G253" s="1" t="s">
        <v>15</v>
      </c>
      <c r="H253" s="22" t="s">
        <v>116</v>
      </c>
      <c r="I253" s="21" t="s">
        <v>117</v>
      </c>
      <c r="J253" s="6" t="s">
        <v>115</v>
      </c>
      <c r="K253" s="22" t="s">
        <v>98</v>
      </c>
      <c r="L253" s="1"/>
      <c r="O253" s="12" t="s">
        <v>24</v>
      </c>
    </row>
    <row r="254" spans="2:15">
      <c r="B254" s="17">
        <f>H4</f>
        <v>0.25</v>
      </c>
      <c r="C254" s="17"/>
      <c r="D254" s="22">
        <f>D250</f>
        <v>688.03540469555298</v>
      </c>
      <c r="E254" s="1"/>
      <c r="F254" s="1"/>
      <c r="G254" s="6">
        <f t="shared" ref="G254:G279" si="82">($C$4*D254)/(101325*B254)</f>
        <v>7.7869285139335904</v>
      </c>
      <c r="H254" s="22"/>
      <c r="I254" s="22"/>
      <c r="J254" s="1"/>
      <c r="K254" s="22">
        <f>K250</f>
        <v>1257.7010120414059</v>
      </c>
      <c r="L254" s="1"/>
      <c r="O254" s="12" t="s">
        <v>34</v>
      </c>
    </row>
    <row r="255" spans="2:15">
      <c r="B255" s="17">
        <f>B254</f>
        <v>0.25</v>
      </c>
      <c r="C255" s="19"/>
      <c r="D255" s="22">
        <f t="shared" ref="D255:D279" si="83">D254*EXP(-(K254-K255)/F$252)</f>
        <v>660.72989254418724</v>
      </c>
      <c r="E255" s="11"/>
      <c r="F255" s="11"/>
      <c r="G255" s="6">
        <f t="shared" si="82"/>
        <v>7.4778948948669743</v>
      </c>
      <c r="H255" s="22"/>
      <c r="I255" s="22"/>
      <c r="J255" s="1"/>
      <c r="K255" s="21">
        <f>K254-(K$254-K$279)/25</f>
        <v>1207.3929715597496</v>
      </c>
      <c r="L255" s="1"/>
      <c r="O255" s="12" t="s">
        <v>35</v>
      </c>
    </row>
    <row r="256" spans="2:15">
      <c r="B256" s="17">
        <f t="shared" ref="B256:B279" si="84">B255</f>
        <v>0.25</v>
      </c>
      <c r="C256" s="19"/>
      <c r="D256" s="22">
        <f t="shared" si="83"/>
        <v>634.50803246764212</v>
      </c>
      <c r="E256" s="11"/>
      <c r="F256" s="11"/>
      <c r="G256" s="6">
        <f t="shared" si="82"/>
        <v>7.1811256464752047</v>
      </c>
      <c r="H256" s="22"/>
      <c r="I256" s="22"/>
      <c r="J256" s="1"/>
      <c r="K256" s="21">
        <f t="shared" ref="K256:K278" si="85">K255-(K$254-K$279)/25</f>
        <v>1157.0849310780934</v>
      </c>
      <c r="L256" s="1"/>
      <c r="O256" s="12" t="s">
        <v>36</v>
      </c>
    </row>
    <row r="257" spans="2:15">
      <c r="B257" s="17">
        <f t="shared" si="84"/>
        <v>0.25</v>
      </c>
      <c r="C257" s="19"/>
      <c r="D257" s="22">
        <f t="shared" si="83"/>
        <v>609.32681843062505</v>
      </c>
      <c r="E257" s="11"/>
      <c r="F257" s="11"/>
      <c r="G257" s="6">
        <f t="shared" si="82"/>
        <v>6.8961340424645394</v>
      </c>
      <c r="H257" s="22"/>
      <c r="I257" s="22"/>
      <c r="J257" s="1"/>
      <c r="K257" s="21">
        <f t="shared" si="85"/>
        <v>1106.7768905964372</v>
      </c>
      <c r="L257" s="1"/>
      <c r="O257" s="12"/>
    </row>
    <row r="258" spans="2:15">
      <c r="B258" s="17">
        <f t="shared" si="84"/>
        <v>0.25</v>
      </c>
      <c r="C258" s="19"/>
      <c r="D258" s="22">
        <f t="shared" si="83"/>
        <v>585.14495114405338</v>
      </c>
      <c r="E258" s="11"/>
      <c r="F258" s="11"/>
      <c r="G258" s="6">
        <f t="shared" si="82"/>
        <v>6.6224526728593176</v>
      </c>
      <c r="H258" s="22"/>
      <c r="I258" s="22"/>
      <c r="J258" s="1"/>
      <c r="K258" s="21">
        <f t="shared" si="85"/>
        <v>1056.4688501147809</v>
      </c>
      <c r="L258" s="1"/>
      <c r="O258" s="12"/>
    </row>
    <row r="259" spans="2:15">
      <c r="B259" s="17">
        <f t="shared" si="84"/>
        <v>0.25</v>
      </c>
      <c r="C259" s="19"/>
      <c r="D259" s="22">
        <f t="shared" si="83"/>
        <v>561.92277033077937</v>
      </c>
      <c r="E259" s="11"/>
      <c r="F259" s="11"/>
      <c r="G259" s="6">
        <f t="shared" si="82"/>
        <v>6.3596326774106524</v>
      </c>
      <c r="H259" s="22"/>
      <c r="I259" s="22"/>
      <c r="J259" s="1"/>
      <c r="K259" s="21">
        <f t="shared" si="85"/>
        <v>1006.1608096331247</v>
      </c>
      <c r="L259" s="1"/>
      <c r="O259" s="12"/>
    </row>
    <row r="260" spans="2:15">
      <c r="B260" s="17">
        <f t="shared" si="84"/>
        <v>0.25</v>
      </c>
      <c r="C260" s="19"/>
      <c r="D260" s="22">
        <f t="shared" si="83"/>
        <v>539.62218967943113</v>
      </c>
      <c r="E260" s="11"/>
      <c r="F260" s="11"/>
      <c r="G260" s="6">
        <f t="shared" si="82"/>
        <v>6.1072430094282355</v>
      </c>
      <c r="H260" s="22"/>
      <c r="I260" s="22"/>
      <c r="J260" s="1"/>
      <c r="K260" s="21">
        <f t="shared" si="85"/>
        <v>955.85276915146846</v>
      </c>
      <c r="L260" s="1"/>
      <c r="O260" s="12"/>
    </row>
    <row r="261" spans="2:15">
      <c r="B261" s="17">
        <f t="shared" si="84"/>
        <v>0.25</v>
      </c>
      <c r="C261" s="19"/>
      <c r="D261" s="22">
        <f t="shared" si="83"/>
        <v>518.20663437968869</v>
      </c>
      <c r="E261" s="11"/>
      <c r="F261" s="11"/>
      <c r="G261" s="6">
        <f t="shared" si="82"/>
        <v>5.8648697288278333</v>
      </c>
      <c r="H261" s="22"/>
      <c r="I261" s="22"/>
      <c r="J261" s="1"/>
      <c r="K261" s="21">
        <f t="shared" si="85"/>
        <v>905.54472866981223</v>
      </c>
      <c r="L261" s="1"/>
      <c r="O261" s="12"/>
    </row>
    <row r="262" spans="2:15">
      <c r="B262" s="17">
        <f t="shared" si="84"/>
        <v>0.25</v>
      </c>
      <c r="C262" s="19"/>
      <c r="D262" s="22">
        <f t="shared" si="83"/>
        <v>497.64098113654768</v>
      </c>
      <c r="E262" s="11"/>
      <c r="F262" s="11"/>
      <c r="G262" s="6">
        <f t="shared" si="82"/>
        <v>5.6321153232350758</v>
      </c>
      <c r="H262" s="22"/>
      <c r="I262" s="22"/>
      <c r="J262" s="1"/>
      <c r="K262" s="21">
        <f t="shared" si="85"/>
        <v>855.23668818815599</v>
      </c>
      <c r="L262" s="1"/>
      <c r="O262" s="12"/>
    </row>
    <row r="263" spans="2:15">
      <c r="B263" s="17">
        <f t="shared" si="84"/>
        <v>0.25</v>
      </c>
      <c r="C263" s="19"/>
      <c r="D263" s="22">
        <f t="shared" si="83"/>
        <v>477.89150056518923</v>
      </c>
      <c r="E263" s="11"/>
      <c r="F263" s="11"/>
      <c r="G263" s="6">
        <f t="shared" si="82"/>
        <v>5.4085980560320346</v>
      </c>
      <c r="H263" s="22"/>
      <c r="I263" s="22"/>
      <c r="J263" s="1"/>
      <c r="K263" s="21">
        <f t="shared" si="85"/>
        <v>804.92864770649976</v>
      </c>
      <c r="L263" s="1"/>
      <c r="O263" s="12"/>
    </row>
    <row r="264" spans="2:15">
      <c r="B264" s="17">
        <f t="shared" si="84"/>
        <v>0.25</v>
      </c>
      <c r="C264" s="19"/>
      <c r="D264" s="22">
        <f t="shared" si="83"/>
        <v>458.92580187197848</v>
      </c>
      <c r="E264" s="11"/>
      <c r="F264" s="11"/>
      <c r="G264" s="6">
        <f t="shared" si="82"/>
        <v>5.1939513402773638</v>
      </c>
      <c r="H264" s="22"/>
      <c r="I264" s="22"/>
      <c r="J264" s="1"/>
      <c r="K264" s="21">
        <f t="shared" si="85"/>
        <v>754.62060722484352</v>
      </c>
      <c r="L264" s="1"/>
      <c r="O264" s="12"/>
    </row>
    <row r="265" spans="2:15">
      <c r="B265" s="17">
        <f t="shared" si="84"/>
        <v>0.25</v>
      </c>
      <c r="C265" s="19"/>
      <c r="D265" s="22">
        <f t="shared" si="83"/>
        <v>440.71277973086427</v>
      </c>
      <c r="E265" s="11"/>
      <c r="F265" s="11"/>
      <c r="G265" s="6">
        <f t="shared" si="82"/>
        <v>4.9878231374731774</v>
      </c>
      <c r="H265" s="22"/>
      <c r="I265" s="22"/>
      <c r="J265" s="1"/>
      <c r="K265" s="21">
        <f t="shared" si="85"/>
        <v>704.31256674318729</v>
      </c>
      <c r="L265" s="1"/>
      <c r="O265" s="12"/>
    </row>
    <row r="266" spans="2:15">
      <c r="B266" s="17">
        <f t="shared" si="84"/>
        <v>0.25</v>
      </c>
      <c r="C266" s="19"/>
      <c r="D266" s="22">
        <f t="shared" si="83"/>
        <v>423.2225632680528</v>
      </c>
      <c r="E266" s="11"/>
      <c r="F266" s="11"/>
      <c r="G266" s="6">
        <f t="shared" si="82"/>
        <v>4.7898753801925738</v>
      </c>
      <c r="H266" s="22"/>
      <c r="I266" s="22"/>
      <c r="J266" s="1"/>
      <c r="K266" s="21">
        <f t="shared" si="85"/>
        <v>654.00452626153105</v>
      </c>
      <c r="L266" s="1"/>
      <c r="O266" s="12"/>
    </row>
    <row r="267" spans="2:15">
      <c r="B267" s="17">
        <f t="shared" si="84"/>
        <v>0.25</v>
      </c>
      <c r="C267" s="19"/>
      <c r="D267" s="22">
        <f t="shared" si="83"/>
        <v>406.42646707128586</v>
      </c>
      <c r="E267" s="11"/>
      <c r="F267" s="11"/>
      <c r="G267" s="6">
        <f t="shared" si="82"/>
        <v>4.5997834176208956</v>
      </c>
      <c r="H267" s="22"/>
      <c r="I267" s="22"/>
      <c r="J267" s="1"/>
      <c r="K267" s="21">
        <f t="shared" si="85"/>
        <v>603.69648577987482</v>
      </c>
      <c r="O267" s="12"/>
    </row>
    <row r="268" spans="2:15">
      <c r="B268" s="17">
        <f t="shared" si="84"/>
        <v>0.25</v>
      </c>
      <c r="C268" s="19"/>
      <c r="D268" s="22">
        <f t="shared" si="83"/>
        <v>390.29694414337456</v>
      </c>
      <c r="E268" s="11"/>
      <c r="F268" s="11"/>
      <c r="G268" s="6">
        <f t="shared" si="82"/>
        <v>4.4172354831013427</v>
      </c>
      <c r="H268" s="22"/>
      <c r="I268" s="22"/>
      <c r="J268" s="7"/>
      <c r="K268" s="21">
        <f t="shared" si="85"/>
        <v>553.38844529821858</v>
      </c>
      <c r="O268" s="12"/>
    </row>
    <row r="269" spans="2:15">
      <c r="B269" s="17">
        <f t="shared" si="84"/>
        <v>0.25</v>
      </c>
      <c r="C269" s="19"/>
      <c r="D269" s="22">
        <f t="shared" si="83"/>
        <v>374.80754072282889</v>
      </c>
      <c r="E269" s="11"/>
      <c r="F269" s="11"/>
      <c r="G269" s="6">
        <f t="shared" si="82"/>
        <v>4.2419321828116754</v>
      </c>
      <c r="H269" s="22"/>
      <c r="I269" s="22"/>
      <c r="J269" s="7"/>
      <c r="K269" s="21">
        <f t="shared" si="85"/>
        <v>503.08040481656235</v>
      </c>
      <c r="L269" s="4"/>
      <c r="O269" s="12"/>
    </row>
    <row r="270" spans="2:15">
      <c r="B270" s="17">
        <f t="shared" si="84"/>
        <v>0.25</v>
      </c>
      <c r="C270" s="19"/>
      <c r="D270" s="22">
        <f t="shared" si="83"/>
        <v>359.93285289748468</v>
      </c>
      <c r="E270" s="11"/>
      <c r="F270" s="11"/>
      <c r="G270" s="6">
        <f t="shared" si="82"/>
        <v>4.0735860047334027</v>
      </c>
      <c r="H270" s="22"/>
      <c r="I270" s="22"/>
      <c r="J270" s="7"/>
      <c r="K270" s="21">
        <f t="shared" si="85"/>
        <v>452.77236433490611</v>
      </c>
      <c r="O270" s="12"/>
    </row>
    <row r="271" spans="2:15">
      <c r="B271" s="17">
        <f t="shared" si="84"/>
        <v>0.25</v>
      </c>
      <c r="C271" s="19"/>
      <c r="D271" s="22">
        <f t="shared" si="83"/>
        <v>345.64848493997113</v>
      </c>
      <c r="E271" s="11"/>
      <c r="F271" s="11"/>
      <c r="G271" s="6">
        <f t="shared" si="82"/>
        <v>3.9119208471081208</v>
      </c>
      <c r="H271" s="22"/>
      <c r="I271" s="22"/>
      <c r="J271" s="7"/>
      <c r="K271" s="21">
        <f t="shared" si="85"/>
        <v>402.46432385324988</v>
      </c>
      <c r="L271" s="6"/>
      <c r="O271" s="12"/>
    </row>
    <row r="272" spans="2:15">
      <c r="B272" s="17">
        <f t="shared" si="84"/>
        <v>0.25</v>
      </c>
      <c r="C272" s="19"/>
      <c r="D272" s="22">
        <f t="shared" si="83"/>
        <v>331.93100929668532</v>
      </c>
      <c r="E272" s="11"/>
      <c r="F272" s="11"/>
      <c r="G272" s="6">
        <f t="shared" si="82"/>
        <v>3.7566715656076184</v>
      </c>
      <c r="H272" s="22"/>
      <c r="I272" s="22"/>
      <c r="J272" s="7"/>
      <c r="K272" s="21">
        <f t="shared" si="85"/>
        <v>352.15628337159364</v>
      </c>
      <c r="O272" s="12"/>
    </row>
    <row r="273" spans="2:15">
      <c r="B273" s="17">
        <f t="shared" si="84"/>
        <v>0.25</v>
      </c>
      <c r="C273" s="19"/>
      <c r="D273" s="22">
        <f t="shared" si="83"/>
        <v>318.75792816465224</v>
      </c>
      <c r="E273" s="11"/>
      <c r="F273" s="11"/>
      <c r="G273" s="6">
        <f t="shared" si="82"/>
        <v>3.6075835384750925</v>
      </c>
      <c r="H273" s="22"/>
      <c r="I273" s="22"/>
      <c r="J273" s="7"/>
      <c r="K273" s="21">
        <f t="shared" si="85"/>
        <v>301.84824288993741</v>
      </c>
      <c r="O273" s="12"/>
    </row>
    <row r="274" spans="2:15">
      <c r="B274" s="17">
        <f t="shared" si="84"/>
        <v>0.25</v>
      </c>
      <c r="C274" s="19"/>
      <c r="D274" s="22">
        <f t="shared" si="83"/>
        <v>306.10763659325346</v>
      </c>
      <c r="E274" s="11"/>
      <c r="F274" s="11"/>
      <c r="G274" s="6">
        <f t="shared" si="82"/>
        <v>3.464412248924249</v>
      </c>
      <c r="H274" s="22"/>
      <c r="I274" s="22"/>
      <c r="J274" s="7"/>
      <c r="K274" s="21">
        <f t="shared" si="85"/>
        <v>251.54020240828117</v>
      </c>
      <c r="O274" s="12"/>
    </row>
    <row r="275" spans="2:15">
      <c r="B275" s="17">
        <f t="shared" si="84"/>
        <v>0.25</v>
      </c>
      <c r="C275" s="19"/>
      <c r="D275" s="22">
        <f t="shared" si="83"/>
        <v>293.95938705030818</v>
      </c>
      <c r="E275" s="11"/>
      <c r="F275" s="11"/>
      <c r="G275" s="6">
        <f t="shared" si="82"/>
        <v>3.3269228841114025</v>
      </c>
      <c r="H275" s="22"/>
      <c r="I275" s="22"/>
      <c r="J275" s="7"/>
      <c r="K275" s="21">
        <f t="shared" si="85"/>
        <v>201.23216192662494</v>
      </c>
      <c r="O275" s="12"/>
    </row>
    <row r="276" spans="2:15">
      <c r="B276" s="17">
        <f t="shared" si="84"/>
        <v>0.25</v>
      </c>
      <c r="C276" s="19"/>
      <c r="D276" s="22">
        <f t="shared" si="83"/>
        <v>282.29325539439151</v>
      </c>
      <c r="E276" s="11"/>
      <c r="F276" s="11"/>
      <c r="G276" s="6">
        <f t="shared" si="82"/>
        <v>3.1948899500228469</v>
      </c>
      <c r="H276" s="22"/>
      <c r="I276" s="22"/>
      <c r="J276" s="7"/>
      <c r="K276" s="21">
        <f t="shared" si="85"/>
        <v>150.9241214449687</v>
      </c>
      <c r="L276" s="4"/>
      <c r="O276" s="12"/>
    </row>
    <row r="277" spans="2:15">
      <c r="B277" s="17">
        <f t="shared" si="84"/>
        <v>0.25</v>
      </c>
      <c r="C277" s="19"/>
      <c r="D277" s="22">
        <f t="shared" si="83"/>
        <v>271.09010819758277</v>
      </c>
      <c r="E277" s="11"/>
      <c r="F277" s="11"/>
      <c r="G277" s="6">
        <f t="shared" si="82"/>
        <v>3.0680969016458861</v>
      </c>
      <c r="H277" s="22"/>
      <c r="I277" s="22"/>
      <c r="J277" s="7"/>
      <c r="K277" s="21">
        <f t="shared" si="85"/>
        <v>100.61608096331247</v>
      </c>
      <c r="O277" s="12"/>
    </row>
    <row r="278" spans="2:15">
      <c r="B278" s="17">
        <f t="shared" si="84"/>
        <v>0.25</v>
      </c>
      <c r="C278" s="19"/>
      <c r="D278" s="22">
        <f t="shared" si="83"/>
        <v>260.33157136504934</v>
      </c>
      <c r="E278" s="11"/>
      <c r="F278" s="11"/>
      <c r="G278" s="6">
        <f t="shared" si="82"/>
        <v>2.9463357878169703</v>
      </c>
      <c r="H278" s="22"/>
      <c r="I278" s="22"/>
      <c r="J278" s="7"/>
      <c r="K278" s="21">
        <f t="shared" si="85"/>
        <v>50.308040481656235</v>
      </c>
      <c r="O278" s="12"/>
    </row>
    <row r="279" spans="2:15">
      <c r="B279" s="17">
        <f t="shared" si="84"/>
        <v>0.25</v>
      </c>
      <c r="C279" s="19"/>
      <c r="D279" s="22">
        <f t="shared" si="83"/>
        <v>250.00000000000031</v>
      </c>
      <c r="E279" s="11"/>
      <c r="F279" s="11"/>
      <c r="G279" s="6">
        <f t="shared" si="82"/>
        <v>2.8294069101644626</v>
      </c>
      <c r="H279" s="22"/>
      <c r="I279" s="22"/>
      <c r="J279" s="7"/>
      <c r="K279" s="21">
        <f>K51</f>
        <v>0</v>
      </c>
      <c r="O279" s="12"/>
    </row>
    <row r="280" spans="2:15">
      <c r="G280" s="1"/>
      <c r="H280" s="22"/>
      <c r="I280" s="22"/>
      <c r="K280" s="22"/>
      <c r="O280" s="12"/>
    </row>
    <row r="281" spans="2:15">
      <c r="B281" s="20" t="s">
        <v>42</v>
      </c>
      <c r="C281" s="17" t="str">
        <f>C49</f>
        <v>gamma=</v>
      </c>
      <c r="D281" s="14">
        <f>$D$4</f>
        <v>1.3</v>
      </c>
      <c r="E281" s="17" t="str">
        <f>E49</f>
        <v xml:space="preserve">Cp = </v>
      </c>
      <c r="F281" s="4">
        <f>C$4*D281/(D281-1)</f>
        <v>1242.3218390804595</v>
      </c>
      <c r="H281" s="22"/>
      <c r="I281" s="22"/>
      <c r="O281" s="12"/>
    </row>
    <row r="282" spans="2:15">
      <c r="B282" s="17" t="s">
        <v>5</v>
      </c>
      <c r="C282" s="17" t="s">
        <v>121</v>
      </c>
      <c r="D282" t="s">
        <v>41</v>
      </c>
      <c r="E282" t="s">
        <v>123</v>
      </c>
      <c r="F282" t="s">
        <v>143</v>
      </c>
      <c r="G282" s="1" t="s">
        <v>15</v>
      </c>
      <c r="H282" s="22" t="s">
        <v>116</v>
      </c>
      <c r="I282" s="21" t="s">
        <v>117</v>
      </c>
      <c r="J282" s="6" t="s">
        <v>115</v>
      </c>
      <c r="K282" s="22" t="s">
        <v>98</v>
      </c>
      <c r="L282" s="4" t="s">
        <v>141</v>
      </c>
      <c r="M282" s="10" t="s">
        <v>142</v>
      </c>
      <c r="N282" s="10" t="s">
        <v>60</v>
      </c>
      <c r="O282" s="81" t="s">
        <v>73</v>
      </c>
    </row>
    <row r="283" spans="2:15">
      <c r="B283" s="19">
        <f>B51</f>
        <v>0.25</v>
      </c>
      <c r="C283" s="79">
        <f t="shared" ref="C283:J283" si="86">C51</f>
        <v>0.37192246364038956</v>
      </c>
      <c r="D283" s="21">
        <f t="shared" si="86"/>
        <v>250</v>
      </c>
      <c r="E283" s="21">
        <f t="shared" si="86"/>
        <v>274</v>
      </c>
      <c r="F283" s="21">
        <f t="shared" si="86"/>
        <v>273.89999999999998</v>
      </c>
      <c r="G283" s="6">
        <f t="shared" si="86"/>
        <v>2.829406910164459</v>
      </c>
      <c r="H283" s="22">
        <f t="shared" si="86"/>
        <v>305.24439049888286</v>
      </c>
      <c r="I283" s="21">
        <f t="shared" si="86"/>
        <v>244.19551239910629</v>
      </c>
      <c r="J283" s="6">
        <f t="shared" si="86"/>
        <v>0.8</v>
      </c>
      <c r="K283" s="21">
        <f t="shared" ref="K283:K308" si="87">$F$281*LN(D283/$G$4)-$C$4*LN(B283/$H$4)</f>
        <v>0</v>
      </c>
      <c r="L283" s="3">
        <v>0</v>
      </c>
      <c r="M283">
        <v>0</v>
      </c>
      <c r="N283" s="16">
        <f t="shared" ref="N283:N308" si="88">$B$17*G283/(I283+0.0000000001)*$I$8</f>
        <v>0</v>
      </c>
      <c r="O283" s="12"/>
    </row>
    <row r="284" spans="2:15">
      <c r="B284" s="19">
        <f>C284/((1+((D$281-1)/2)*J284^2)^(D$281/(D$281-1)))</f>
        <v>0.25552422426821303</v>
      </c>
      <c r="C284" s="79">
        <f>C283+(C$308-C$283)/25</f>
        <v>0.36895747383584054</v>
      </c>
      <c r="D284" s="21">
        <f>F284/(1+((D$281-1)/2)*J284^2)</f>
        <v>251.54583446029375</v>
      </c>
      <c r="E284" s="21">
        <f>F283</f>
        <v>273.89999999999998</v>
      </c>
      <c r="F284" s="21">
        <f t="shared" ref="F284:F308" si="89">E284*(1-$K$7)+$K$7*$C$12</f>
        <v>273.80099999999999</v>
      </c>
      <c r="G284" s="6">
        <f>($C$4*D284)/(101325*B284)</f>
        <v>2.7853543995029288</v>
      </c>
      <c r="H284" s="22">
        <f t="shared" ref="H284:H308" si="90">SQRT($D$281*$C$4*D284)</f>
        <v>306.18665076048353</v>
      </c>
      <c r="I284" s="21">
        <f>H284*J284</f>
        <v>235.15134778405135</v>
      </c>
      <c r="J284" s="6">
        <f>J283+(J$308-J$283)/25</f>
        <v>0.76800000000000002</v>
      </c>
      <c r="K284" s="21">
        <f t="shared" si="87"/>
        <v>1.3920691427978591</v>
      </c>
      <c r="L284" s="3">
        <v>0</v>
      </c>
      <c r="M284">
        <v>0</v>
      </c>
      <c r="N284" s="16">
        <f t="shared" si="88"/>
        <v>0</v>
      </c>
      <c r="O284" s="12"/>
    </row>
    <row r="285" spans="2:15">
      <c r="B285" s="19">
        <f t="shared" ref="B285:B308" si="91">C285/((1+((D$281-1)/2)*J285^2)^(D$281/(D$281-1)))</f>
        <v>0.26088632787502836</v>
      </c>
      <c r="C285" s="79">
        <f t="shared" ref="C285:C307" si="92">C284+(C$308-C$283)/25</f>
        <v>0.36599248403129153</v>
      </c>
      <c r="D285" s="21">
        <f t="shared" ref="D285:D308" si="93">F285/(1+((D$281-1)/2)*J285^2)</f>
        <v>253.13468319758977</v>
      </c>
      <c r="E285" s="21">
        <f t="shared" ref="E285:E308" si="94">F284</f>
        <v>273.80099999999999</v>
      </c>
      <c r="F285" s="21">
        <f t="shared" si="89"/>
        <v>273.70299</v>
      </c>
      <c r="G285" s="6">
        <f t="shared" ref="G285:G308" si="95">($C$4*D285)/(101325*B285)</f>
        <v>2.7453375103069444</v>
      </c>
      <c r="H285" s="22">
        <f t="shared" si="90"/>
        <v>307.15211793104044</v>
      </c>
      <c r="I285" s="21">
        <f t="shared" ref="I285:I308" si="96">H285*J285</f>
        <v>226.06395879724576</v>
      </c>
      <c r="J285" s="6">
        <f t="shared" ref="J285:J307" si="97">J284+(J$308-J$283)/25</f>
        <v>0.73599999999999999</v>
      </c>
      <c r="K285" s="21">
        <f t="shared" si="87"/>
        <v>3.2604691507435852</v>
      </c>
      <c r="L285" s="3">
        <v>0</v>
      </c>
      <c r="M285">
        <v>0</v>
      </c>
      <c r="N285" s="16">
        <f t="shared" si="88"/>
        <v>0</v>
      </c>
      <c r="O285" s="12"/>
    </row>
    <row r="286" spans="2:15">
      <c r="B286" s="19">
        <f t="shared" si="91"/>
        <v>0.2660650004055371</v>
      </c>
      <c r="C286" s="79">
        <f t="shared" si="92"/>
        <v>0.36302749422674252</v>
      </c>
      <c r="D286" s="21">
        <f t="shared" si="93"/>
        <v>254.67296096663412</v>
      </c>
      <c r="E286" s="21">
        <f t="shared" si="94"/>
        <v>273.70299</v>
      </c>
      <c r="F286" s="21">
        <f t="shared" si="89"/>
        <v>273.6059601</v>
      </c>
      <c r="G286" s="6">
        <f t="shared" si="95"/>
        <v>2.7082608929875702</v>
      </c>
      <c r="H286" s="22">
        <f t="shared" si="90"/>
        <v>308.0839729191386</v>
      </c>
      <c r="I286" s="21">
        <f t="shared" si="96"/>
        <v>216.89111693507357</v>
      </c>
      <c r="J286" s="6">
        <f t="shared" si="97"/>
        <v>0.70399999999999996</v>
      </c>
      <c r="K286" s="21">
        <f t="shared" si="87"/>
        <v>5.1519761060096094</v>
      </c>
      <c r="L286" s="3">
        <v>0</v>
      </c>
      <c r="M286">
        <v>0</v>
      </c>
      <c r="N286" s="16">
        <f t="shared" si="88"/>
        <v>0</v>
      </c>
      <c r="O286" s="12"/>
    </row>
    <row r="287" spans="2:15">
      <c r="B287" s="19">
        <f t="shared" si="91"/>
        <v>0.27103886686230422</v>
      </c>
      <c r="C287" s="79">
        <f t="shared" si="92"/>
        <v>0.36006250442219351</v>
      </c>
      <c r="D287" s="21">
        <f t="shared" si="93"/>
        <v>256.15834873568184</v>
      </c>
      <c r="E287" s="21">
        <f t="shared" si="94"/>
        <v>273.6059601</v>
      </c>
      <c r="F287" s="21">
        <f t="shared" si="89"/>
        <v>273.50990049899997</v>
      </c>
      <c r="G287" s="6">
        <f t="shared" si="95"/>
        <v>2.6740674147566561</v>
      </c>
      <c r="H287" s="22">
        <f t="shared" si="90"/>
        <v>308.98112121800875</v>
      </c>
      <c r="I287" s="21">
        <f t="shared" si="96"/>
        <v>207.63531345850186</v>
      </c>
      <c r="J287" s="6">
        <f t="shared" si="97"/>
        <v>0.67199999999999993</v>
      </c>
      <c r="K287" s="21">
        <f t="shared" si="87"/>
        <v>7.0668587348218743</v>
      </c>
      <c r="L287" s="3">
        <v>0</v>
      </c>
      <c r="M287">
        <v>0</v>
      </c>
      <c r="N287" s="16">
        <f t="shared" si="88"/>
        <v>0</v>
      </c>
      <c r="O287" s="12"/>
    </row>
    <row r="288" spans="2:15">
      <c r="B288" s="19">
        <f t="shared" si="91"/>
        <v>0.27578663228311634</v>
      </c>
      <c r="C288" s="79">
        <f t="shared" si="92"/>
        <v>0.3570975146176445</v>
      </c>
      <c r="D288" s="21">
        <f t="shared" si="93"/>
        <v>257.58856034633141</v>
      </c>
      <c r="E288" s="21">
        <f t="shared" si="94"/>
        <v>273.50990049899997</v>
      </c>
      <c r="F288" s="21">
        <f t="shared" si="89"/>
        <v>273.41480149400996</v>
      </c>
      <c r="G288" s="6">
        <f t="shared" si="95"/>
        <v>2.6427055096529539</v>
      </c>
      <c r="H288" s="22">
        <f t="shared" si="90"/>
        <v>309.84248934686593</v>
      </c>
      <c r="I288" s="21">
        <f t="shared" si="96"/>
        <v>198.29919318199416</v>
      </c>
      <c r="J288" s="6">
        <f t="shared" si="97"/>
        <v>0.6399999999999999</v>
      </c>
      <c r="K288" s="21">
        <f t="shared" si="87"/>
        <v>9.0053937613910193</v>
      </c>
      <c r="L288" s="3">
        <v>0</v>
      </c>
      <c r="M288">
        <v>0</v>
      </c>
      <c r="N288" s="16">
        <f t="shared" si="88"/>
        <v>0</v>
      </c>
      <c r="O288" s="12"/>
    </row>
    <row r="289" spans="2:15">
      <c r="B289" s="19">
        <f t="shared" si="91"/>
        <v>0.28028723371475411</v>
      </c>
      <c r="C289" s="79">
        <f t="shared" si="92"/>
        <v>0.35413252481309548</v>
      </c>
      <c r="D289" s="21">
        <f t="shared" si="93"/>
        <v>258.96135019528157</v>
      </c>
      <c r="E289" s="21">
        <f t="shared" si="94"/>
        <v>273.41480149400996</v>
      </c>
      <c r="F289" s="21">
        <f t="shared" si="89"/>
        <v>273.32065347906985</v>
      </c>
      <c r="G289" s="6">
        <f t="shared" si="95"/>
        <v>2.6141291702700866</v>
      </c>
      <c r="H289" s="22">
        <f t="shared" si="90"/>
        <v>310.66702793764318</v>
      </c>
      <c r="I289" s="21">
        <f t="shared" si="96"/>
        <v>188.88555298608702</v>
      </c>
      <c r="J289" s="6">
        <f t="shared" si="97"/>
        <v>0.60799999999999987</v>
      </c>
      <c r="K289" s="21">
        <f t="shared" si="87"/>
        <v>10.967866160866265</v>
      </c>
      <c r="L289" s="3">
        <v>0</v>
      </c>
      <c r="M289">
        <v>0</v>
      </c>
      <c r="N289" s="16">
        <f t="shared" si="88"/>
        <v>0</v>
      </c>
      <c r="O289" s="12"/>
    </row>
    <row r="290" spans="2:15">
      <c r="B290" s="19">
        <f t="shared" si="91"/>
        <v>0.28451999813823403</v>
      </c>
      <c r="C290" s="79">
        <f t="shared" si="92"/>
        <v>0.35116753500854647</v>
      </c>
      <c r="D290" s="21">
        <f t="shared" si="93"/>
        <v>260.27452102132349</v>
      </c>
      <c r="E290" s="21">
        <f t="shared" si="94"/>
        <v>273.32065347906985</v>
      </c>
      <c r="F290" s="21">
        <f t="shared" si="89"/>
        <v>273.22744694427911</v>
      </c>
      <c r="G290" s="6">
        <f t="shared" si="95"/>
        <v>2.5882979514138982</v>
      </c>
      <c r="H290" s="22">
        <f t="shared" si="90"/>
        <v>311.4537148378534</v>
      </c>
      <c r="I290" s="21">
        <f t="shared" si="96"/>
        <v>179.39733974660351</v>
      </c>
      <c r="J290" s="6">
        <f t="shared" si="97"/>
        <v>0.57599999999999985</v>
      </c>
      <c r="K290" s="21">
        <f t="shared" si="87"/>
        <v>12.954569423034592</v>
      </c>
      <c r="L290" s="3">
        <v>0</v>
      </c>
      <c r="M290">
        <v>0</v>
      </c>
      <c r="N290" s="16">
        <f t="shared" si="88"/>
        <v>0</v>
      </c>
      <c r="O290" s="12"/>
    </row>
    <row r="291" spans="2:15">
      <c r="B291" s="19">
        <f t="shared" si="91"/>
        <v>0.28846480475534381</v>
      </c>
      <c r="C291" s="79">
        <f t="shared" si="92"/>
        <v>0.34820254520399746</v>
      </c>
      <c r="D291" s="21">
        <f t="shared" si="93"/>
        <v>261.52593175390763</v>
      </c>
      <c r="E291" s="21">
        <f t="shared" si="94"/>
        <v>273.22744694427911</v>
      </c>
      <c r="F291" s="21">
        <f t="shared" si="89"/>
        <v>273.13517247483628</v>
      </c>
      <c r="G291" s="6">
        <f t="shared" si="95"/>
        <v>2.5651769862160183</v>
      </c>
      <c r="H291" s="22">
        <f t="shared" si="90"/>
        <v>312.20155821379814</v>
      </c>
      <c r="I291" s="21">
        <f t="shared" si="96"/>
        <v>169.83764766830612</v>
      </c>
      <c r="J291" s="6">
        <f t="shared" si="97"/>
        <v>0.54399999999999982</v>
      </c>
      <c r="K291" s="21">
        <f t="shared" si="87"/>
        <v>14.965805827300528</v>
      </c>
      <c r="L291" s="3">
        <v>0</v>
      </c>
      <c r="M291">
        <v>0</v>
      </c>
      <c r="N291" s="16">
        <f t="shared" si="88"/>
        <v>0</v>
      </c>
      <c r="O291" s="12"/>
    </row>
    <row r="292" spans="2:15">
      <c r="B292" s="19">
        <f t="shared" si="91"/>
        <v>0.29210224987724698</v>
      </c>
      <c r="C292" s="79">
        <f t="shared" si="92"/>
        <v>0.34523755539944845</v>
      </c>
      <c r="D292" s="21">
        <f t="shared" si="93"/>
        <v>262.71350537705354</v>
      </c>
      <c r="E292" s="21">
        <f t="shared" si="94"/>
        <v>273.13517247483628</v>
      </c>
      <c r="F292" s="21">
        <f t="shared" si="89"/>
        <v>273.04382075008789</v>
      </c>
      <c r="G292" s="6">
        <f t="shared" si="95"/>
        <v>2.544737015273717</v>
      </c>
      <c r="H292" s="22">
        <f t="shared" si="90"/>
        <v>312.90959963764072</v>
      </c>
      <c r="I292" s="21">
        <f t="shared" si="96"/>
        <v>160.20971501447198</v>
      </c>
      <c r="J292" s="6">
        <f t="shared" si="97"/>
        <v>0.51199999999999979</v>
      </c>
      <c r="K292" s="21">
        <f t="shared" si="87"/>
        <v>17.00188672953356</v>
      </c>
      <c r="L292" s="3">
        <v>0</v>
      </c>
      <c r="M292">
        <v>0</v>
      </c>
      <c r="N292" s="16">
        <f t="shared" si="88"/>
        <v>0</v>
      </c>
      <c r="O292" s="12"/>
    </row>
    <row r="293" spans="2:15">
      <c r="B293" s="19">
        <f t="shared" si="91"/>
        <v>0.29541381250851356</v>
      </c>
      <c r="C293" s="79">
        <f t="shared" si="92"/>
        <v>0.34227256559489944</v>
      </c>
      <c r="D293" s="21">
        <f t="shared" si="93"/>
        <v>263.83523676015602</v>
      </c>
      <c r="E293" s="21">
        <f t="shared" si="94"/>
        <v>273.04382075008789</v>
      </c>
      <c r="F293" s="21">
        <f t="shared" si="89"/>
        <v>272.95338254258701</v>
      </c>
      <c r="G293" s="6">
        <f t="shared" si="95"/>
        <v>2.5269544294329438</v>
      </c>
      <c r="H293" s="22">
        <f t="shared" si="90"/>
        <v>313.57691714128396</v>
      </c>
      <c r="I293" s="21">
        <f t="shared" si="96"/>
        <v>150.51692022781623</v>
      </c>
      <c r="J293" s="6">
        <f t="shared" si="97"/>
        <v>0.47999999999999976</v>
      </c>
      <c r="K293" s="21">
        <f t="shared" si="87"/>
        <v>19.06313286139666</v>
      </c>
      <c r="L293" s="3">
        <v>0</v>
      </c>
      <c r="M293">
        <v>0</v>
      </c>
      <c r="N293" s="16">
        <f t="shared" si="88"/>
        <v>0</v>
      </c>
      <c r="O293" s="12"/>
    </row>
    <row r="294" spans="2:15">
      <c r="B294" s="19">
        <f t="shared" si="91"/>
        <v>0.29838201859907831</v>
      </c>
      <c r="C294" s="79">
        <f t="shared" si="92"/>
        <v>0.33930757579035042</v>
      </c>
      <c r="D294" s="21">
        <f t="shared" si="93"/>
        <v>264.8892004054353</v>
      </c>
      <c r="E294" s="21">
        <f t="shared" si="94"/>
        <v>272.95338254258701</v>
      </c>
      <c r="F294" s="21">
        <f t="shared" si="89"/>
        <v>272.86384871716115</v>
      </c>
      <c r="G294" s="6">
        <f t="shared" si="95"/>
        <v>2.5118113268819875</v>
      </c>
      <c r="H294" s="22">
        <f t="shared" si="90"/>
        <v>314.20262821954537</v>
      </c>
      <c r="I294" s="21">
        <f t="shared" si="96"/>
        <v>140.76277744235625</v>
      </c>
      <c r="J294" s="6">
        <f t="shared" si="97"/>
        <v>0.44799999999999973</v>
      </c>
      <c r="K294" s="21">
        <f t="shared" si="87"/>
        <v>21.149874642801947</v>
      </c>
      <c r="L294" s="3">
        <v>0</v>
      </c>
      <c r="M294">
        <v>0</v>
      </c>
      <c r="N294" s="16">
        <f t="shared" si="88"/>
        <v>0</v>
      </c>
      <c r="O294" s="12"/>
    </row>
    <row r="295" spans="2:15">
      <c r="B295" s="19">
        <f t="shared" si="91"/>
        <v>0.30099060184695026</v>
      </c>
      <c r="C295" s="79">
        <f t="shared" si="92"/>
        <v>0.33634258598580141</v>
      </c>
      <c r="D295" s="21">
        <f t="shared" si="93"/>
        <v>265.8735580604336</v>
      </c>
      <c r="E295" s="21">
        <f t="shared" si="94"/>
        <v>272.86384871716115</v>
      </c>
      <c r="F295" s="21">
        <f t="shared" si="89"/>
        <v>272.77521022998951</v>
      </c>
      <c r="G295" s="6">
        <f t="shared" si="95"/>
        <v>2.4992955852778378</v>
      </c>
      <c r="H295" s="22">
        <f t="shared" si="90"/>
        <v>314.7858927648299</v>
      </c>
      <c r="I295" s="21">
        <f t="shared" si="96"/>
        <v>130.95093139016913</v>
      </c>
      <c r="J295" s="6">
        <f t="shared" si="97"/>
        <v>0.4159999999999997</v>
      </c>
      <c r="K295" s="21">
        <f t="shared" si="87"/>
        <v>23.262452508190343</v>
      </c>
      <c r="L295" s="3">
        <v>0</v>
      </c>
      <c r="M295">
        <v>0</v>
      </c>
      <c r="N295" s="16">
        <f t="shared" si="88"/>
        <v>0</v>
      </c>
      <c r="O295" s="12"/>
    </row>
    <row r="296" spans="2:15">
      <c r="B296" s="19">
        <f t="shared" si="91"/>
        <v>0.30322465888004413</v>
      </c>
      <c r="C296" s="79">
        <f t="shared" si="92"/>
        <v>0.3333775961812524</v>
      </c>
      <c r="D296" s="21">
        <f t="shared" si="93"/>
        <v>266.78656614310984</v>
      </c>
      <c r="E296" s="21">
        <f t="shared" si="94"/>
        <v>272.77521022998951</v>
      </c>
      <c r="F296" s="21">
        <f t="shared" si="89"/>
        <v>272.68745812768958</v>
      </c>
      <c r="G296" s="6">
        <f t="shared" si="95"/>
        <v>2.489400949686551</v>
      </c>
      <c r="H296" s="22">
        <f t="shared" si="90"/>
        <v>315.32591591535999</v>
      </c>
      <c r="I296" s="21">
        <f t="shared" si="96"/>
        <v>121.08515171149813</v>
      </c>
      <c r="J296" s="6">
        <f t="shared" si="97"/>
        <v>0.38399999999999967</v>
      </c>
      <c r="K296" s="21">
        <f t="shared" si="87"/>
        <v>25.40121724736705</v>
      </c>
      <c r="L296" s="3">
        <v>0</v>
      </c>
      <c r="M296">
        <v>0</v>
      </c>
      <c r="N296" s="16">
        <f t="shared" si="88"/>
        <v>0</v>
      </c>
      <c r="O296" s="12"/>
    </row>
    <row r="297" spans="2:15">
      <c r="B297" s="19">
        <f t="shared" si="91"/>
        <v>0.30507079662974962</v>
      </c>
      <c r="C297" s="79">
        <f t="shared" si="92"/>
        <v>0.33041260637670339</v>
      </c>
      <c r="D297" s="21">
        <f t="shared" si="93"/>
        <v>267.62658292676895</v>
      </c>
      <c r="E297" s="21">
        <f t="shared" si="94"/>
        <v>272.68745812768958</v>
      </c>
      <c r="F297" s="21">
        <f t="shared" si="89"/>
        <v>272.60058354641268</v>
      </c>
      <c r="G297" s="6">
        <f t="shared" si="95"/>
        <v>2.4821271371828817</v>
      </c>
      <c r="H297" s="22">
        <f t="shared" si="90"/>
        <v>315.82195079905517</v>
      </c>
      <c r="I297" s="21">
        <f t="shared" si="96"/>
        <v>111.16932668126731</v>
      </c>
      <c r="J297" s="6">
        <f t="shared" si="97"/>
        <v>0.35199999999999965</v>
      </c>
      <c r="K297" s="21">
        <f t="shared" si="87"/>
        <v>27.566530361674424</v>
      </c>
      <c r="L297" s="3">
        <v>0</v>
      </c>
      <c r="M297">
        <v>0</v>
      </c>
      <c r="N297" s="16">
        <f t="shared" si="88"/>
        <v>0</v>
      </c>
      <c r="O297" s="12"/>
    </row>
    <row r="298" spans="2:15">
      <c r="B298" s="19">
        <f t="shared" si="91"/>
        <v>0.30651726973435173</v>
      </c>
      <c r="C298" s="79">
        <f t="shared" si="92"/>
        <v>0.32744761657215438</v>
      </c>
      <c r="D298" s="21">
        <f t="shared" si="93"/>
        <v>268.39207543230827</v>
      </c>
      <c r="E298" s="21">
        <f t="shared" si="94"/>
        <v>272.60058354641268</v>
      </c>
      <c r="F298" s="21">
        <f t="shared" si="89"/>
        <v>272.51457771094852</v>
      </c>
      <c r="G298" s="6">
        <f t="shared" si="95"/>
        <v>2.4774799590238161</v>
      </c>
      <c r="H298" s="22">
        <f t="shared" si="90"/>
        <v>316.27330115535523</v>
      </c>
      <c r="I298" s="21">
        <f t="shared" si="96"/>
        <v>101.20745636971355</v>
      </c>
      <c r="J298" s="6">
        <f t="shared" si="97"/>
        <v>0.31999999999999962</v>
      </c>
      <c r="K298" s="21">
        <f t="shared" si="87"/>
        <v>29.758764436326814</v>
      </c>
      <c r="L298" s="3">
        <v>0</v>
      </c>
      <c r="M298">
        <v>0</v>
      </c>
      <c r="N298" s="16">
        <f t="shared" si="88"/>
        <v>0</v>
      </c>
      <c r="O298" s="12"/>
    </row>
    <row r="299" spans="2:15">
      <c r="B299" s="19">
        <f t="shared" si="91"/>
        <v>0.30755410587882159</v>
      </c>
      <c r="C299" s="79">
        <f t="shared" si="92"/>
        <v>0.32448262676760536</v>
      </c>
      <c r="D299" s="21">
        <f t="shared" si="93"/>
        <v>269.08162597609481</v>
      </c>
      <c r="E299" s="21">
        <f t="shared" si="94"/>
        <v>272.51457771094852</v>
      </c>
      <c r="F299" s="21">
        <f t="shared" si="89"/>
        <v>272.429431933839</v>
      </c>
      <c r="G299" s="6">
        <f t="shared" si="95"/>
        <v>2.4754714613858044</v>
      </c>
      <c r="H299" s="22">
        <f t="shared" si="90"/>
        <v>316.67932381766695</v>
      </c>
      <c r="I299" s="21">
        <f t="shared" si="96"/>
        <v>91.203645259487956</v>
      </c>
      <c r="J299" s="6">
        <f t="shared" si="97"/>
        <v>0.28799999999999959</v>
      </c>
      <c r="K299" s="21">
        <f t="shared" si="87"/>
        <v>31.978303529797842</v>
      </c>
      <c r="L299" s="3">
        <v>0</v>
      </c>
      <c r="M299">
        <v>0</v>
      </c>
      <c r="N299" s="16">
        <f t="shared" si="88"/>
        <v>0</v>
      </c>
      <c r="O299" s="12"/>
    </row>
    <row r="300" spans="2:15">
      <c r="B300" s="19">
        <f t="shared" si="91"/>
        <v>0.30817321708937334</v>
      </c>
      <c r="C300" s="79">
        <f t="shared" si="92"/>
        <v>0.32151763696305635</v>
      </c>
      <c r="D300" s="21">
        <f t="shared" si="93"/>
        <v>269.6939383232081</v>
      </c>
      <c r="E300" s="21">
        <f t="shared" si="94"/>
        <v>272.429431933839</v>
      </c>
      <c r="F300" s="21">
        <f t="shared" si="89"/>
        <v>272.34513761450057</v>
      </c>
      <c r="G300" s="6">
        <f t="shared" si="95"/>
        <v>2.4761200857368904</v>
      </c>
      <c r="H300" s="22">
        <f t="shared" si="90"/>
        <v>317.0394310396768</v>
      </c>
      <c r="I300" s="21">
        <f t="shared" si="96"/>
        <v>81.162094346157119</v>
      </c>
      <c r="J300" s="6">
        <f t="shared" si="97"/>
        <v>0.25599999999999956</v>
      </c>
      <c r="K300" s="21">
        <f t="shared" si="87"/>
        <v>34.225543581190223</v>
      </c>
      <c r="L300" s="3">
        <v>0</v>
      </c>
      <c r="M300">
        <v>0</v>
      </c>
      <c r="N300" s="16">
        <f t="shared" si="88"/>
        <v>0</v>
      </c>
      <c r="O300" s="12"/>
    </row>
    <row r="301" spans="2:15">
      <c r="B301" s="19">
        <f t="shared" si="91"/>
        <v>0.30836849515591941</v>
      </c>
      <c r="C301" s="79">
        <f t="shared" si="92"/>
        <v>0.31855264715850734</v>
      </c>
      <c r="D301" s="21">
        <f t="shared" si="93"/>
        <v>270.22784339780628</v>
      </c>
      <c r="E301" s="21">
        <f t="shared" si="94"/>
        <v>272.34513761450057</v>
      </c>
      <c r="F301" s="21">
        <f t="shared" si="89"/>
        <v>272.26168623835554</v>
      </c>
      <c r="G301" s="6">
        <f t="shared" si="95"/>
        <v>2.4794508500033308</v>
      </c>
      <c r="H301" s="22">
        <f t="shared" si="90"/>
        <v>317.35309264951673</v>
      </c>
      <c r="I301" s="21">
        <f t="shared" si="96"/>
        <v>71.087092753491604</v>
      </c>
      <c r="J301" s="6">
        <f t="shared" si="97"/>
        <v>0.22399999999999956</v>
      </c>
      <c r="K301" s="21">
        <f t="shared" si="87"/>
        <v>36.500892836593856</v>
      </c>
      <c r="L301" s="3">
        <v>0</v>
      </c>
      <c r="M301">
        <v>0</v>
      </c>
      <c r="N301" s="16">
        <f t="shared" si="88"/>
        <v>0</v>
      </c>
      <c r="O301" s="12"/>
    </row>
    <row r="302" spans="2:15">
      <c r="B302" s="19">
        <f t="shared" si="91"/>
        <v>0.30813588955137744</v>
      </c>
      <c r="C302" s="79">
        <f t="shared" si="92"/>
        <v>0.31558765735395833</v>
      </c>
      <c r="D302" s="21">
        <f t="shared" si="93"/>
        <v>270.68230450498118</v>
      </c>
      <c r="E302" s="21">
        <f t="shared" si="94"/>
        <v>272.26168623835554</v>
      </c>
      <c r="F302" s="21">
        <f t="shared" si="89"/>
        <v>272.17906937597195</v>
      </c>
      <c r="G302" s="6">
        <f t="shared" si="95"/>
        <v>2.485495551786205</v>
      </c>
      <c r="H302" s="22">
        <f t="shared" si="90"/>
        <v>317.61983801669186</v>
      </c>
      <c r="I302" s="21">
        <f t="shared" si="96"/>
        <v>60.983008899204698</v>
      </c>
      <c r="J302" s="6">
        <f t="shared" si="97"/>
        <v>0.19199999999999956</v>
      </c>
      <c r="K302" s="21">
        <f t="shared" si="87"/>
        <v>38.804772295494423</v>
      </c>
      <c r="L302" s="3">
        <v>0</v>
      </c>
      <c r="M302">
        <v>0</v>
      </c>
      <c r="N302" s="16">
        <f t="shared" si="88"/>
        <v>0</v>
      </c>
      <c r="O302" s="12"/>
    </row>
    <row r="303" spans="2:15">
      <c r="B303" s="19">
        <f t="shared" si="91"/>
        <v>0.30747346645068691</v>
      </c>
      <c r="C303" s="79">
        <f t="shared" si="92"/>
        <v>0.31262266754940932</v>
      </c>
      <c r="D303" s="21">
        <f t="shared" si="93"/>
        <v>271.0564220216491</v>
      </c>
      <c r="E303" s="21">
        <f t="shared" si="94"/>
        <v>272.17906937597195</v>
      </c>
      <c r="F303" s="21">
        <f t="shared" si="89"/>
        <v>272.09727868221222</v>
      </c>
      <c r="G303" s="6">
        <f t="shared" si="95"/>
        <v>2.4942929949876147</v>
      </c>
      <c r="H303" s="22">
        <f t="shared" si="90"/>
        <v>317.83925781777066</v>
      </c>
      <c r="I303" s="21">
        <f t="shared" si="96"/>
        <v>50.854281250843165</v>
      </c>
      <c r="J303" s="6">
        <f t="shared" si="97"/>
        <v>0.15999999999999956</v>
      </c>
      <c r="K303" s="21">
        <f t="shared" si="87"/>
        <v>41.137616178367963</v>
      </c>
      <c r="L303" s="3">
        <v>0</v>
      </c>
      <c r="M303">
        <v>0</v>
      </c>
      <c r="N303" s="16">
        <f t="shared" si="88"/>
        <v>0</v>
      </c>
      <c r="O303" s="12"/>
    </row>
    <row r="304" spans="2:15">
      <c r="B304" s="19">
        <f t="shared" si="91"/>
        <v>0.30638144772022624</v>
      </c>
      <c r="C304" s="79">
        <f t="shared" si="92"/>
        <v>0.3096576777448603</v>
      </c>
      <c r="D304" s="21">
        <f t="shared" si="93"/>
        <v>271.34943751774642</v>
      </c>
      <c r="E304" s="21">
        <f t="shared" si="94"/>
        <v>272.09727868221222</v>
      </c>
      <c r="F304" s="21">
        <f t="shared" si="89"/>
        <v>272.01630589539008</v>
      </c>
      <c r="G304" s="6">
        <f t="shared" si="95"/>
        <v>2.5058892413193137</v>
      </c>
      <c r="H304" s="22">
        <f t="shared" si="90"/>
        <v>318.01100558809048</v>
      </c>
      <c r="I304" s="21">
        <f t="shared" si="96"/>
        <v>40.705408715275439</v>
      </c>
      <c r="J304" s="6">
        <f t="shared" si="97"/>
        <v>0.12799999999999956</v>
      </c>
      <c r="K304" s="21">
        <f t="shared" si="87"/>
        <v>43.499872416672503</v>
      </c>
      <c r="L304" s="3">
        <v>0</v>
      </c>
      <c r="M304">
        <v>0</v>
      </c>
      <c r="N304" s="16">
        <f t="shared" si="88"/>
        <v>0</v>
      </c>
      <c r="O304" s="12"/>
    </row>
    <row r="305" spans="2:15">
      <c r="B305" s="19">
        <f t="shared" si="91"/>
        <v>0.30486222904487703</v>
      </c>
      <c r="C305" s="79">
        <f t="shared" si="92"/>
        <v>0.30669268794031129</v>
      </c>
      <c r="D305" s="21">
        <f t="shared" si="93"/>
        <v>271.56073727322962</v>
      </c>
      <c r="E305" s="21">
        <f t="shared" si="94"/>
        <v>272.01630589539008</v>
      </c>
      <c r="F305" s="21">
        <f t="shared" si="89"/>
        <v>271.93614283643615</v>
      </c>
      <c r="G305" s="6">
        <f t="shared" si="95"/>
        <v>2.5203378882896175</v>
      </c>
      <c r="H305" s="22">
        <f t="shared" si="90"/>
        <v>318.13479904813505</v>
      </c>
      <c r="I305" s="21">
        <f t="shared" si="96"/>
        <v>30.540940708620823</v>
      </c>
      <c r="J305" s="6">
        <f t="shared" si="97"/>
        <v>9.5999999999999558E-2</v>
      </c>
      <c r="K305" s="21">
        <f t="shared" si="87"/>
        <v>45.89200316653352</v>
      </c>
      <c r="L305" s="3">
        <v>0</v>
      </c>
      <c r="M305">
        <v>0</v>
      </c>
      <c r="N305" s="16">
        <f t="shared" si="88"/>
        <v>0</v>
      </c>
      <c r="O305" s="12"/>
    </row>
    <row r="306" spans="2:15">
      <c r="B306" s="19">
        <f t="shared" si="91"/>
        <v>0.30292037667906863</v>
      </c>
      <c r="C306" s="79">
        <f t="shared" si="92"/>
        <v>0.30372769813576228</v>
      </c>
      <c r="D306" s="21">
        <f t="shared" si="93"/>
        <v>271.68985516106085</v>
      </c>
      <c r="E306" s="21">
        <f t="shared" si="94"/>
        <v>271.93614283643615</v>
      </c>
      <c r="F306" s="21">
        <f t="shared" si="89"/>
        <v>271.85678140807175</v>
      </c>
      <c r="G306" s="6">
        <f t="shared" si="95"/>
        <v>2.5377003753983645</v>
      </c>
      <c r="H306" s="22">
        <f t="shared" si="90"/>
        <v>318.21042119477772</v>
      </c>
      <c r="I306" s="21">
        <f t="shared" si="96"/>
        <v>20.365466956465632</v>
      </c>
      <c r="J306" s="6">
        <f t="shared" si="97"/>
        <v>6.3999999999999557E-2</v>
      </c>
      <c r="K306" s="21">
        <f t="shared" si="87"/>
        <v>48.314485347495932</v>
      </c>
      <c r="L306" s="3">
        <v>0</v>
      </c>
      <c r="M306">
        <v>0</v>
      </c>
      <c r="N306" s="16">
        <f t="shared" si="88"/>
        <v>0</v>
      </c>
      <c r="O306" s="12"/>
    </row>
    <row r="307" spans="2:15">
      <c r="B307" s="19">
        <f t="shared" si="91"/>
        <v>0.30056260264283169</v>
      </c>
      <c r="C307" s="79">
        <f t="shared" si="92"/>
        <v>0.30076270833121327</v>
      </c>
      <c r="D307" s="21">
        <f t="shared" si="93"/>
        <v>271.73647487145081</v>
      </c>
      <c r="E307" s="21">
        <f t="shared" si="94"/>
        <v>271.85678140807175</v>
      </c>
      <c r="F307" s="21">
        <f t="shared" si="89"/>
        <v>271.77821359399104</v>
      </c>
      <c r="G307" s="6">
        <f t="shared" si="95"/>
        <v>2.5580463204155399</v>
      </c>
      <c r="H307" s="22">
        <f t="shared" si="90"/>
        <v>318.23772114924179</v>
      </c>
      <c r="I307" s="21">
        <f t="shared" si="96"/>
        <v>10.183607076775596</v>
      </c>
      <c r="J307" s="6">
        <f t="shared" si="97"/>
        <v>3.1999999999999557E-2</v>
      </c>
      <c r="K307" s="21">
        <f t="shared" si="87"/>
        <v>50.767811207823513</v>
      </c>
      <c r="L307" s="3">
        <v>0</v>
      </c>
      <c r="M307">
        <v>0</v>
      </c>
      <c r="N307" s="16">
        <f t="shared" si="88"/>
        <v>0</v>
      </c>
      <c r="O307" s="12"/>
    </row>
    <row r="308" spans="2:15">
      <c r="B308" s="19">
        <f t="shared" si="91"/>
        <v>0.29779771852666392</v>
      </c>
      <c r="C308" s="79">
        <f>C283*$C$11^(D$281/(D$281-1))</f>
        <v>0.29779771852666392</v>
      </c>
      <c r="D308" s="21">
        <f t="shared" si="93"/>
        <v>271.70043145805113</v>
      </c>
      <c r="E308" s="21">
        <f t="shared" si="94"/>
        <v>271.77821359399104</v>
      </c>
      <c r="F308" s="21">
        <f t="shared" si="89"/>
        <v>271.70043145805113</v>
      </c>
      <c r="G308" s="6">
        <f t="shared" si="95"/>
        <v>2.5814538877779984</v>
      </c>
      <c r="H308" s="22">
        <f t="shared" si="90"/>
        <v>318.21661475538349</v>
      </c>
      <c r="I308" s="21">
        <f t="shared" si="96"/>
        <v>0</v>
      </c>
      <c r="J308" s="6">
        <f>C8</f>
        <v>0</v>
      </c>
      <c r="K308" s="21">
        <f t="shared" si="87"/>
        <v>53.252488917925021</v>
      </c>
      <c r="L308" s="3">
        <v>0</v>
      </c>
      <c r="M308">
        <v>0</v>
      </c>
      <c r="N308" s="16">
        <f t="shared" si="88"/>
        <v>0</v>
      </c>
      <c r="O308" s="12"/>
    </row>
    <row r="309" spans="2:15">
      <c r="B309" s="17"/>
      <c r="O309" s="12"/>
    </row>
    <row r="310" spans="2:15">
      <c r="B310" s="20" t="s">
        <v>43</v>
      </c>
      <c r="C310" s="18" t="s">
        <v>118</v>
      </c>
      <c r="D310" s="14">
        <f>$D$4</f>
        <v>1.3</v>
      </c>
      <c r="E310" s="4" t="s">
        <v>119</v>
      </c>
      <c r="F310" s="4">
        <f>C$4*D310/(D310-1)</f>
        <v>1242.3218390804595</v>
      </c>
      <c r="G310" s="6"/>
      <c r="H310" s="21"/>
      <c r="I310" s="22"/>
      <c r="J310" s="1"/>
      <c r="K310" s="22"/>
      <c r="O310" s="12"/>
    </row>
    <row r="311" spans="2:15">
      <c r="B311" s="17" t="s">
        <v>5</v>
      </c>
      <c r="C311" s="17" t="s">
        <v>121</v>
      </c>
      <c r="D311" t="s">
        <v>41</v>
      </c>
      <c r="E311" t="s">
        <v>123</v>
      </c>
      <c r="F311" t="s">
        <v>143</v>
      </c>
      <c r="G311" s="1" t="s">
        <v>15</v>
      </c>
      <c r="H311" s="22" t="s">
        <v>46</v>
      </c>
      <c r="I311" s="21" t="s">
        <v>47</v>
      </c>
      <c r="J311" s="6" t="s">
        <v>115</v>
      </c>
      <c r="K311" s="22" t="s">
        <v>98</v>
      </c>
      <c r="L311" s="4" t="s">
        <v>45</v>
      </c>
      <c r="M311" s="10" t="s">
        <v>44</v>
      </c>
      <c r="N311" s="10" t="s">
        <v>48</v>
      </c>
      <c r="O311" s="12" t="s">
        <v>74</v>
      </c>
    </row>
    <row r="312" spans="2:15">
      <c r="B312" s="17">
        <f>B308</f>
        <v>0.29779771852666392</v>
      </c>
      <c r="C312" s="19">
        <f>B312*(1+((D$310-1)/2)*J312^2)^(D$310/(D$310-1))</f>
        <v>0.29779771852666392</v>
      </c>
      <c r="D312" s="21">
        <f>D308</f>
        <v>271.70043145805113</v>
      </c>
      <c r="E312" s="21">
        <f>D312*(1+((D$310-1)/2)*J312^2)</f>
        <v>271.70043145805113</v>
      </c>
      <c r="F312" s="21">
        <f t="shared" ref="F312:F337" si="98">E312*(1-$K$7)+$K$7*$I$12</f>
        <v>272.02342714347066</v>
      </c>
      <c r="G312" s="6">
        <f t="shared" ref="G312:G337" si="99">($C$4*D312)/(101325*B312)</f>
        <v>2.5814538877779984</v>
      </c>
      <c r="H312" s="22">
        <f t="shared" ref="H312:H337" si="100">SQRT($D$310*$C$4*D312)</f>
        <v>318.21661475538349</v>
      </c>
      <c r="I312" s="21">
        <f t="shared" ref="I312:I337" si="101">H312*J312</f>
        <v>0</v>
      </c>
      <c r="J312" s="1">
        <f>J308</f>
        <v>0</v>
      </c>
      <c r="K312" s="21">
        <f t="shared" ref="K312:K337" si="102">$F$310*LN(D312/$G$4)-$C$4*LN(B312/$H$4)</f>
        <v>53.252488917925021</v>
      </c>
      <c r="L312" s="3"/>
      <c r="N312" s="16">
        <f t="shared" ref="N312:N337" si="103">$B$17*G312/(I312+0.0000000001)*$I$8</f>
        <v>0</v>
      </c>
      <c r="O312" s="12" t="s">
        <v>75</v>
      </c>
    </row>
    <row r="313" spans="2:15">
      <c r="B313" s="17">
        <f>C313/((1+((D$310-1)/2)*J313^2)^(D$310/(D$310-1)))</f>
        <v>0.30970962726773049</v>
      </c>
      <c r="C313" s="17">
        <f>C312+(C$337-C$312)/25</f>
        <v>0.30970962726773049</v>
      </c>
      <c r="D313" s="21">
        <f>F313/(1+((D$310-1)/2)*J313^2)</f>
        <v>274.92057108767818</v>
      </c>
      <c r="E313" s="21">
        <f t="shared" ref="E313:E337" si="104">F312*(1+((C313/C312)^(($D$310-1)/$D$310)-1)/$I$11)</f>
        <v>274.62683948250321</v>
      </c>
      <c r="F313" s="21">
        <f t="shared" si="98"/>
        <v>274.92057108767818</v>
      </c>
      <c r="G313" s="6">
        <f t="shared" si="99"/>
        <v>2.5115853531714984</v>
      </c>
      <c r="H313" s="22">
        <f t="shared" si="100"/>
        <v>320.09678043118208</v>
      </c>
      <c r="I313" s="21">
        <f t="shared" si="101"/>
        <v>0</v>
      </c>
      <c r="J313" s="1">
        <f>J312</f>
        <v>0</v>
      </c>
      <c r="K313" s="21">
        <f t="shared" si="102"/>
        <v>56.645500072717113</v>
      </c>
      <c r="L313" s="3">
        <v>0</v>
      </c>
      <c r="M313" s="7">
        <f>-F$310*(E313-F312)-L312</f>
        <v>-3234.2760049116896</v>
      </c>
      <c r="N313" s="16">
        <f t="shared" si="103"/>
        <v>0</v>
      </c>
      <c r="O313" s="12" t="s">
        <v>91</v>
      </c>
    </row>
    <row r="314" spans="2:15">
      <c r="B314" s="17">
        <f t="shared" ref="B314:B337" si="105">C314/((1+((D$310-1)/2)*J314^2)^(D$310/(D$310-1)))</f>
        <v>0.32162153600879706</v>
      </c>
      <c r="C314" s="17">
        <f t="shared" ref="C314:C336" si="106">C313+(C$337-C$312)/25</f>
        <v>0.32162153600879706</v>
      </c>
      <c r="D314" s="21">
        <f t="shared" ref="D314:D337" si="107">F314/(1+((D$310-1)/2)*J314^2)</f>
        <v>277.71744562532433</v>
      </c>
      <c r="E314" s="21">
        <f t="shared" si="104"/>
        <v>277.45196527810538</v>
      </c>
      <c r="F314" s="21">
        <f t="shared" si="98"/>
        <v>277.71744562532433</v>
      </c>
      <c r="G314" s="6">
        <f t="shared" si="99"/>
        <v>2.4431686679837954</v>
      </c>
      <c r="H314" s="22">
        <f t="shared" si="100"/>
        <v>321.72089509106206</v>
      </c>
      <c r="I314" s="21">
        <f t="shared" si="101"/>
        <v>0</v>
      </c>
      <c r="J314" s="1">
        <f t="shared" ref="J314:J337" si="108">J313</f>
        <v>0</v>
      </c>
      <c r="K314" s="21">
        <f t="shared" si="102"/>
        <v>58.400508487755729</v>
      </c>
      <c r="L314" s="3">
        <v>0</v>
      </c>
      <c r="M314" s="7">
        <f t="shared" ref="M314:M337" si="109">-F$310*(E314-F313)-L313</f>
        <v>-3144.8062860891014</v>
      </c>
      <c r="N314" s="16">
        <f t="shared" si="103"/>
        <v>0</v>
      </c>
      <c r="O314" s="12" t="s">
        <v>8</v>
      </c>
    </row>
    <row r="315" spans="2:15">
      <c r="B315" s="17">
        <f t="shared" si="105"/>
        <v>0.33353344474986363</v>
      </c>
      <c r="C315" s="17">
        <f t="shared" si="106"/>
        <v>0.33353344474986363</v>
      </c>
      <c r="D315" s="21">
        <f t="shared" si="107"/>
        <v>280.41938187791555</v>
      </c>
      <c r="E315" s="21">
        <f t="shared" si="104"/>
        <v>280.1811938160763</v>
      </c>
      <c r="F315" s="21">
        <f t="shared" si="98"/>
        <v>280.41938187791555</v>
      </c>
      <c r="G315" s="6">
        <f t="shared" si="99"/>
        <v>2.3788335152549793</v>
      </c>
      <c r="H315" s="22">
        <f t="shared" si="100"/>
        <v>323.28213167837367</v>
      </c>
      <c r="I315" s="21">
        <f t="shared" si="101"/>
        <v>0</v>
      </c>
      <c r="J315" s="1">
        <f t="shared" si="108"/>
        <v>0</v>
      </c>
      <c r="K315" s="21">
        <f t="shared" si="102"/>
        <v>60.002516746413107</v>
      </c>
      <c r="L315" s="3">
        <v>0</v>
      </c>
      <c r="M315" s="7">
        <f t="shared" si="109"/>
        <v>-3060.7681833661441</v>
      </c>
      <c r="N315" s="16">
        <f t="shared" si="103"/>
        <v>0</v>
      </c>
      <c r="O315" s="12"/>
    </row>
    <row r="316" spans="2:15">
      <c r="B316" s="17">
        <f t="shared" si="105"/>
        <v>0.3454453534909302</v>
      </c>
      <c r="C316" s="17">
        <f t="shared" si="106"/>
        <v>0.3454453534909302</v>
      </c>
      <c r="D316" s="21">
        <f t="shared" si="107"/>
        <v>283.03124512225753</v>
      </c>
      <c r="E316" s="21">
        <f t="shared" si="104"/>
        <v>282.81943951743182</v>
      </c>
      <c r="F316" s="21">
        <f t="shared" si="98"/>
        <v>283.03124512225753</v>
      </c>
      <c r="G316" s="6">
        <f t="shared" si="99"/>
        <v>2.3181975170564617</v>
      </c>
      <c r="H316" s="22">
        <f t="shared" si="100"/>
        <v>324.78418848098903</v>
      </c>
      <c r="I316" s="21">
        <f t="shared" si="101"/>
        <v>0</v>
      </c>
      <c r="J316" s="1">
        <f t="shared" si="108"/>
        <v>0</v>
      </c>
      <c r="K316" s="21">
        <f t="shared" si="102"/>
        <v>61.459793115203368</v>
      </c>
      <c r="L316" s="3">
        <v>0</v>
      </c>
      <c r="M316" s="7">
        <f t="shared" si="109"/>
        <v>-2981.6440206229499</v>
      </c>
      <c r="N316" s="16">
        <f t="shared" si="103"/>
        <v>0</v>
      </c>
      <c r="O316" s="12"/>
    </row>
    <row r="317" spans="2:15">
      <c r="B317" s="17">
        <f t="shared" si="105"/>
        <v>0.35735726223199676</v>
      </c>
      <c r="C317" s="17">
        <f t="shared" si="106"/>
        <v>0.35735726223199676</v>
      </c>
      <c r="D317" s="21">
        <f t="shared" si="107"/>
        <v>285.55749182700794</v>
      </c>
      <c r="E317" s="21">
        <f t="shared" si="104"/>
        <v>285.37120386566454</v>
      </c>
      <c r="F317" s="21">
        <f t="shared" si="98"/>
        <v>285.55749182700794</v>
      </c>
      <c r="G317" s="6">
        <f t="shared" si="99"/>
        <v>2.2609260424097375</v>
      </c>
      <c r="H317" s="22">
        <f t="shared" si="100"/>
        <v>326.23042856686368</v>
      </c>
      <c r="I317" s="21">
        <f t="shared" si="101"/>
        <v>0</v>
      </c>
      <c r="J317" s="1">
        <f t="shared" si="108"/>
        <v>0</v>
      </c>
      <c r="K317" s="21">
        <f t="shared" si="102"/>
        <v>62.7799438133964</v>
      </c>
      <c r="L317" s="3">
        <v>0</v>
      </c>
      <c r="M317" s="7">
        <f t="shared" si="109"/>
        <v>-2906.9818494817978</v>
      </c>
      <c r="N317" s="16">
        <f t="shared" si="103"/>
        <v>0</v>
      </c>
      <c r="O317" s="12"/>
    </row>
    <row r="318" spans="2:15">
      <c r="B318" s="17">
        <f t="shared" si="105"/>
        <v>0.36926917097306333</v>
      </c>
      <c r="C318" s="17">
        <f t="shared" si="106"/>
        <v>0.36926917097306333</v>
      </c>
      <c r="D318" s="21">
        <f t="shared" si="107"/>
        <v>288.00221794498702</v>
      </c>
      <c r="E318" s="21">
        <f t="shared" si="104"/>
        <v>287.84062418685556</v>
      </c>
      <c r="F318" s="21">
        <f t="shared" si="98"/>
        <v>288.00221794498702</v>
      </c>
      <c r="G318" s="6">
        <f t="shared" si="99"/>
        <v>2.2067248761897824</v>
      </c>
      <c r="H318" s="22">
        <f t="shared" si="100"/>
        <v>327.62392085591108</v>
      </c>
      <c r="I318" s="21">
        <f t="shared" si="101"/>
        <v>0</v>
      </c>
      <c r="J318" s="1">
        <f t="shared" si="108"/>
        <v>0</v>
      </c>
      <c r="K318" s="21">
        <f t="shared" si="102"/>
        <v>63.969986099661696</v>
      </c>
      <c r="L318" s="3">
        <v>0</v>
      </c>
      <c r="M318" s="7">
        <f t="shared" si="109"/>
        <v>-2836.3851921500141</v>
      </c>
      <c r="N318" s="16">
        <f t="shared" si="103"/>
        <v>0</v>
      </c>
      <c r="O318" s="12"/>
    </row>
    <row r="319" spans="2:15">
      <c r="B319" s="17">
        <f t="shared" si="105"/>
        <v>0.3811810797141299</v>
      </c>
      <c r="C319" s="17">
        <f t="shared" si="106"/>
        <v>0.3811810797141299</v>
      </c>
      <c r="D319" s="21">
        <f t="shared" si="107"/>
        <v>290.36920004558743</v>
      </c>
      <c r="E319" s="21">
        <f t="shared" si="104"/>
        <v>290.23151519756306</v>
      </c>
      <c r="F319" s="21">
        <f t="shared" si="98"/>
        <v>290.36920004558743</v>
      </c>
      <c r="G319" s="6">
        <f t="shared" si="99"/>
        <v>2.1553342094630112</v>
      </c>
      <c r="H319" s="22">
        <f t="shared" si="100"/>
        <v>328.96747496353925</v>
      </c>
      <c r="I319" s="21">
        <f t="shared" si="101"/>
        <v>0</v>
      </c>
      <c r="J319" s="1">
        <f t="shared" si="108"/>
        <v>0</v>
      </c>
      <c r="K319" s="21">
        <f t="shared" si="102"/>
        <v>65.036411173162193</v>
      </c>
      <c r="L319" s="3">
        <v>0</v>
      </c>
      <c r="M319" s="7">
        <f t="shared" si="109"/>
        <v>-2769.5046626772719</v>
      </c>
      <c r="N319" s="16">
        <f t="shared" si="103"/>
        <v>0</v>
      </c>
      <c r="O319" s="12"/>
    </row>
    <row r="320" spans="2:15">
      <c r="B320" s="17">
        <f t="shared" si="105"/>
        <v>0.39309298845519647</v>
      </c>
      <c r="C320" s="17">
        <f t="shared" si="106"/>
        <v>0.39309298845519647</v>
      </c>
      <c r="D320" s="21">
        <f t="shared" si="107"/>
        <v>292.66193054370399</v>
      </c>
      <c r="E320" s="21">
        <f t="shared" si="104"/>
        <v>292.54740458959998</v>
      </c>
      <c r="F320" s="21">
        <f t="shared" si="98"/>
        <v>292.66193054370399</v>
      </c>
      <c r="G320" s="6">
        <f t="shared" si="99"/>
        <v>2.1065236799989542</v>
      </c>
      <c r="H320" s="22">
        <f t="shared" si="100"/>
        <v>330.26367092759028</v>
      </c>
      <c r="I320" s="21">
        <f t="shared" si="101"/>
        <v>0</v>
      </c>
      <c r="J320" s="1">
        <f t="shared" si="108"/>
        <v>0</v>
      </c>
      <c r="K320" s="21">
        <f t="shared" si="102"/>
        <v>65.985238585869155</v>
      </c>
      <c r="L320" s="3">
        <v>0</v>
      </c>
      <c r="M320" s="7">
        <f t="shared" si="109"/>
        <v>-2706.031075011078</v>
      </c>
      <c r="N320" s="16">
        <f t="shared" si="103"/>
        <v>0</v>
      </c>
      <c r="O320" s="12"/>
    </row>
    <row r="321" spans="2:15">
      <c r="B321" s="17">
        <f t="shared" si="105"/>
        <v>0.40500489719626304</v>
      </c>
      <c r="C321" s="17">
        <f t="shared" si="106"/>
        <v>0.40500489719626304</v>
      </c>
      <c r="D321" s="21">
        <f t="shared" si="107"/>
        <v>294.88364802945597</v>
      </c>
      <c r="E321" s="21">
        <f t="shared" si="104"/>
        <v>294.7915636661171</v>
      </c>
      <c r="F321" s="21">
        <f t="shared" si="98"/>
        <v>294.88364802945597</v>
      </c>
      <c r="G321" s="6">
        <f t="shared" si="99"/>
        <v>2.0600882537593805</v>
      </c>
      <c r="H321" s="22">
        <f t="shared" si="100"/>
        <v>331.51488470416018</v>
      </c>
      <c r="I321" s="21">
        <f t="shared" si="101"/>
        <v>0</v>
      </c>
      <c r="J321" s="1">
        <f t="shared" si="108"/>
        <v>0</v>
      </c>
      <c r="K321" s="21">
        <f t="shared" si="102"/>
        <v>66.82206353682858</v>
      </c>
      <c r="L321" s="3">
        <v>0</v>
      </c>
      <c r="M321" s="7">
        <f t="shared" si="109"/>
        <v>-2645.6897372029175</v>
      </c>
      <c r="N321" s="16">
        <f t="shared" si="103"/>
        <v>0</v>
      </c>
      <c r="O321" s="12"/>
    </row>
    <row r="322" spans="2:15">
      <c r="B322" s="17">
        <f t="shared" si="105"/>
        <v>0.4169168059373296</v>
      </c>
      <c r="C322" s="17">
        <f t="shared" si="106"/>
        <v>0.4169168059373296</v>
      </c>
      <c r="D322" s="21">
        <f t="shared" si="107"/>
        <v>297.03736350737591</v>
      </c>
      <c r="E322" s="21">
        <f t="shared" si="104"/>
        <v>296.96703384583424</v>
      </c>
      <c r="F322" s="21">
        <f t="shared" si="98"/>
        <v>297.03736350737591</v>
      </c>
      <c r="G322" s="6">
        <f t="shared" si="99"/>
        <v>2.0158447846574346</v>
      </c>
      <c r="H322" s="22">
        <f t="shared" si="100"/>
        <v>332.72331014286971</v>
      </c>
      <c r="I322" s="21">
        <f t="shared" si="101"/>
        <v>0</v>
      </c>
      <c r="J322" s="1">
        <f t="shared" si="108"/>
        <v>0</v>
      </c>
      <c r="K322" s="21">
        <f t="shared" si="102"/>
        <v>67.552098163552643</v>
      </c>
      <c r="L322" s="3">
        <v>0</v>
      </c>
      <c r="M322" s="7">
        <f t="shared" si="109"/>
        <v>-2588.2356989171944</v>
      </c>
      <c r="N322" s="16">
        <f t="shared" si="103"/>
        <v>0</v>
      </c>
      <c r="O322" s="12"/>
    </row>
    <row r="323" spans="2:15">
      <c r="B323" s="17">
        <f t="shared" si="105"/>
        <v>0.42882871467839617</v>
      </c>
      <c r="C323" s="17">
        <f t="shared" si="106"/>
        <v>0.42882871467839617</v>
      </c>
      <c r="D323" s="21">
        <f t="shared" si="107"/>
        <v>299.12588320075275</v>
      </c>
      <c r="E323" s="21">
        <f t="shared" si="104"/>
        <v>299.07664969773003</v>
      </c>
      <c r="F323" s="21">
        <f t="shared" si="98"/>
        <v>299.12588320075275</v>
      </c>
      <c r="G323" s="6">
        <f t="shared" si="99"/>
        <v>1.9736291250271878</v>
      </c>
      <c r="H323" s="22">
        <f t="shared" si="100"/>
        <v>333.89097801581551</v>
      </c>
      <c r="I323" s="21">
        <f t="shared" si="101"/>
        <v>0</v>
      </c>
      <c r="J323" s="1">
        <f t="shared" si="108"/>
        <v>0</v>
      </c>
      <c r="K323" s="21">
        <f t="shared" si="102"/>
        <v>68.180207743801162</v>
      </c>
      <c r="L323" s="3">
        <v>0</v>
      </c>
      <c r="M323" s="7">
        <f t="shared" si="109"/>
        <v>-2533.4497704121131</v>
      </c>
      <c r="N323" s="16">
        <f t="shared" si="103"/>
        <v>0</v>
      </c>
      <c r="O323" s="12"/>
    </row>
    <row r="324" spans="2:15">
      <c r="B324" s="17">
        <f t="shared" si="105"/>
        <v>0.44074062341946274</v>
      </c>
      <c r="C324" s="17">
        <f t="shared" si="106"/>
        <v>0.44074062341946274</v>
      </c>
      <c r="D324" s="21">
        <f t="shared" si="107"/>
        <v>301.15182845623565</v>
      </c>
      <c r="E324" s="21">
        <f t="shared" si="104"/>
        <v>301.12305904670268</v>
      </c>
      <c r="F324" s="21">
        <f t="shared" si="98"/>
        <v>301.15182845623565</v>
      </c>
      <c r="G324" s="6">
        <f t="shared" si="99"/>
        <v>1.9332936860503327</v>
      </c>
      <c r="H324" s="22">
        <f t="shared" si="100"/>
        <v>335.01977256731897</v>
      </c>
      <c r="I324" s="21">
        <f t="shared" si="101"/>
        <v>0</v>
      </c>
      <c r="J324" s="1">
        <f t="shared" si="108"/>
        <v>0</v>
      </c>
      <c r="K324" s="21">
        <f t="shared" si="102"/>
        <v>68.710942560315488</v>
      </c>
      <c r="L324" s="3">
        <v>0</v>
      </c>
      <c r="M324" s="7">
        <f t="shared" si="109"/>
        <v>-2481.135169907584</v>
      </c>
      <c r="N324" s="16">
        <f t="shared" si="103"/>
        <v>0</v>
      </c>
      <c r="O324" s="12"/>
    </row>
    <row r="325" spans="2:15">
      <c r="B325" s="17">
        <f t="shared" si="105"/>
        <v>0.45265253216052931</v>
      </c>
      <c r="C325" s="17">
        <f t="shared" si="106"/>
        <v>0.45265253216052931</v>
      </c>
      <c r="D325" s="21">
        <f t="shared" si="107"/>
        <v>303.11765318807204</v>
      </c>
      <c r="E325" s="21">
        <f t="shared" si="104"/>
        <v>303.10874059401215</v>
      </c>
      <c r="F325" s="21">
        <f t="shared" si="98"/>
        <v>303.11765318807204</v>
      </c>
      <c r="G325" s="6">
        <f t="shared" si="99"/>
        <v>1.8947053679995964</v>
      </c>
      <c r="H325" s="22">
        <f t="shared" si="100"/>
        <v>336.11144596682152</v>
      </c>
      <c r="I325" s="21">
        <f t="shared" si="101"/>
        <v>0</v>
      </c>
      <c r="J325" s="1">
        <f t="shared" si="108"/>
        <v>0</v>
      </c>
      <c r="K325" s="21">
        <f t="shared" si="102"/>
        <v>69.148566052263732</v>
      </c>
      <c r="L325" s="3">
        <v>0</v>
      </c>
      <c r="M325" s="7">
        <f t="shared" si="109"/>
        <v>-2431.1146859213736</v>
      </c>
      <c r="N325" s="16">
        <f t="shared" si="103"/>
        <v>0</v>
      </c>
      <c r="O325" s="12"/>
    </row>
    <row r="326" spans="2:15">
      <c r="B326" s="17">
        <f t="shared" si="105"/>
        <v>0.46456444090159588</v>
      </c>
      <c r="C326" s="17">
        <f t="shared" si="106"/>
        <v>0.46456444090159588</v>
      </c>
      <c r="D326" s="21">
        <f t="shared" si="107"/>
        <v>305.02565922482813</v>
      </c>
      <c r="E326" s="21">
        <f t="shared" si="104"/>
        <v>305.03601941901832</v>
      </c>
      <c r="F326" s="21">
        <f t="shared" si="98"/>
        <v>305.02565922482813</v>
      </c>
      <c r="G326" s="6">
        <f t="shared" si="99"/>
        <v>1.8577437961314125</v>
      </c>
      <c r="H326" s="22">
        <f t="shared" si="100"/>
        <v>337.16763097971818</v>
      </c>
      <c r="I326" s="21">
        <f t="shared" si="101"/>
        <v>0</v>
      </c>
      <c r="J326" s="1">
        <f t="shared" si="108"/>
        <v>0</v>
      </c>
      <c r="K326" s="21">
        <f t="shared" si="102"/>
        <v>69.49707977323888</v>
      </c>
      <c r="L326" s="3">
        <v>0</v>
      </c>
      <c r="M326" s="7">
        <f t="shared" si="109"/>
        <v>-2383.2282640590274</v>
      </c>
      <c r="N326" s="16">
        <f t="shared" si="103"/>
        <v>0</v>
      </c>
      <c r="O326" s="12"/>
    </row>
    <row r="327" spans="2:15">
      <c r="B327" s="17">
        <f t="shared" si="105"/>
        <v>0.47647634964266244</v>
      </c>
      <c r="C327" s="17">
        <f t="shared" si="106"/>
        <v>0.47647634964266244</v>
      </c>
      <c r="D327" s="21">
        <f t="shared" si="107"/>
        <v>306.8780098598736</v>
      </c>
      <c r="E327" s="21">
        <f t="shared" si="104"/>
        <v>306.90708066653895</v>
      </c>
      <c r="F327" s="21">
        <f t="shared" si="98"/>
        <v>306.8780098598736</v>
      </c>
      <c r="G327" s="6">
        <f t="shared" si="99"/>
        <v>1.8222998105283073</v>
      </c>
      <c r="H327" s="22">
        <f t="shared" si="100"/>
        <v>338.18985211673765</v>
      </c>
      <c r="I327" s="21">
        <f t="shared" si="101"/>
        <v>0</v>
      </c>
      <c r="J327" s="1">
        <f t="shared" si="108"/>
        <v>0</v>
      </c>
      <c r="K327" s="21">
        <f t="shared" si="102"/>
        <v>69.760245591280125</v>
      </c>
      <c r="L327" s="3">
        <v>0</v>
      </c>
      <c r="M327" s="7">
        <f t="shared" si="109"/>
        <v>-2337.3309455515873</v>
      </c>
      <c r="N327" s="16">
        <f t="shared" si="103"/>
        <v>0</v>
      </c>
      <c r="O327" s="12"/>
    </row>
    <row r="328" spans="2:15">
      <c r="B328" s="17">
        <f t="shared" si="105"/>
        <v>0.48838825838372901</v>
      </c>
      <c r="C328" s="17">
        <f t="shared" si="106"/>
        <v>0.48838825838372901</v>
      </c>
      <c r="D328" s="21">
        <f t="shared" si="107"/>
        <v>308.67674185708086</v>
      </c>
      <c r="E328" s="21">
        <f t="shared" si="104"/>
        <v>308.72398167381903</v>
      </c>
      <c r="F328" s="21">
        <f t="shared" si="98"/>
        <v>308.67674185708086</v>
      </c>
      <c r="G328" s="6">
        <f t="shared" si="99"/>
        <v>1.788274167990465</v>
      </c>
      <c r="H328" s="22">
        <f t="shared" si="100"/>
        <v>339.17953547874305</v>
      </c>
      <c r="I328" s="21">
        <f t="shared" si="101"/>
        <v>0</v>
      </c>
      <c r="J328" s="1">
        <f t="shared" si="108"/>
        <v>0</v>
      </c>
      <c r="K328" s="21">
        <f t="shared" si="102"/>
        <v>69.941605497509755</v>
      </c>
      <c r="L328" s="3">
        <v>0</v>
      </c>
      <c r="M328" s="7">
        <f t="shared" si="109"/>
        <v>-2293.2910987913729</v>
      </c>
      <c r="N328" s="16">
        <f t="shared" si="103"/>
        <v>0</v>
      </c>
      <c r="O328" s="12"/>
    </row>
    <row r="329" spans="2:15">
      <c r="B329" s="17">
        <f t="shared" si="105"/>
        <v>0.50030016712479553</v>
      </c>
      <c r="C329" s="17">
        <f t="shared" si="106"/>
        <v>0.50030016712479553</v>
      </c>
      <c r="D329" s="21">
        <f t="shared" si="107"/>
        <v>310.42377612262271</v>
      </c>
      <c r="E329" s="21">
        <f t="shared" si="104"/>
        <v>310.48866275012392</v>
      </c>
      <c r="F329" s="21">
        <f t="shared" si="98"/>
        <v>310.42377612262271</v>
      </c>
      <c r="G329" s="6">
        <f t="shared" si="99"/>
        <v>1.7555764218275898</v>
      </c>
      <c r="H329" s="22">
        <f t="shared" si="100"/>
        <v>340.13801747832787</v>
      </c>
      <c r="I329" s="21">
        <f t="shared" si="101"/>
        <v>0</v>
      </c>
      <c r="J329" s="1">
        <f t="shared" si="108"/>
        <v>0</v>
      </c>
      <c r="K329" s="21">
        <f t="shared" si="102"/>
        <v>70.044499333426955</v>
      </c>
      <c r="L329" s="3">
        <v>0</v>
      </c>
      <c r="M329" s="7">
        <f t="shared" si="109"/>
        <v>-2250.9888961135703</v>
      </c>
      <c r="N329" s="16">
        <f t="shared" si="103"/>
        <v>0</v>
      </c>
      <c r="O329" s="12"/>
    </row>
    <row r="330" spans="2:15">
      <c r="B330" s="17">
        <f t="shared" si="105"/>
        <v>0.51221207586586204</v>
      </c>
      <c r="C330" s="17">
        <f t="shared" si="106"/>
        <v>0.51221207586586204</v>
      </c>
      <c r="D330" s="21">
        <f t="shared" si="107"/>
        <v>312.12092722054371</v>
      </c>
      <c r="E330" s="21">
        <f t="shared" si="104"/>
        <v>312.20295678842797</v>
      </c>
      <c r="F330" s="21">
        <f t="shared" si="98"/>
        <v>312.12092722054371</v>
      </c>
      <c r="G330" s="6">
        <f t="shared" si="99"/>
        <v>1.7241239515719948</v>
      </c>
      <c r="H330" s="22">
        <f t="shared" si="100"/>
        <v>341.06655259060108</v>
      </c>
      <c r="I330" s="21">
        <f t="shared" si="101"/>
        <v>0</v>
      </c>
      <c r="J330" s="1">
        <f t="shared" si="108"/>
        <v>0</v>
      </c>
      <c r="K330" s="21">
        <f t="shared" si="102"/>
        <v>70.072080700194249</v>
      </c>
      <c r="L330" s="3">
        <v>0</v>
      </c>
      <c r="M330" s="7">
        <f t="shared" si="109"/>
        <v>-2210.3149967995828</v>
      </c>
      <c r="N330" s="16">
        <f t="shared" si="103"/>
        <v>0</v>
      </c>
      <c r="O330" s="12"/>
    </row>
    <row r="331" spans="2:15">
      <c r="B331" s="17">
        <f t="shared" si="105"/>
        <v>0.52412398460692855</v>
      </c>
      <c r="C331" s="17">
        <f t="shared" si="106"/>
        <v>0.52412398460692855</v>
      </c>
      <c r="D331" s="21">
        <f t="shared" si="107"/>
        <v>313.76991188246421</v>
      </c>
      <c r="E331" s="21">
        <f t="shared" si="104"/>
        <v>313.86859786107493</v>
      </c>
      <c r="F331" s="21">
        <f t="shared" si="98"/>
        <v>313.76991188246421</v>
      </c>
      <c r="G331" s="6">
        <f t="shared" si="99"/>
        <v>1.6938411195735263</v>
      </c>
      <c r="H331" s="22">
        <f t="shared" si="100"/>
        <v>341.96632026177815</v>
      </c>
      <c r="I331" s="21">
        <f t="shared" si="101"/>
        <v>0</v>
      </c>
      <c r="J331" s="1">
        <f t="shared" si="108"/>
        <v>0</v>
      </c>
      <c r="K331" s="21">
        <f t="shared" si="102"/>
        <v>70.027331274556929</v>
      </c>
      <c r="L331" s="3">
        <v>0</v>
      </c>
      <c r="M331" s="7">
        <f t="shared" si="109"/>
        <v>-2171.169404251677</v>
      </c>
      <c r="N331" s="16">
        <f t="shared" si="103"/>
        <v>0</v>
      </c>
      <c r="O331" s="12"/>
    </row>
    <row r="332" spans="2:15">
      <c r="B332" s="17">
        <f t="shared" si="105"/>
        <v>0.53603589334799506</v>
      </c>
      <c r="C332" s="17">
        <f t="shared" si="106"/>
        <v>0.53603589334799506</v>
      </c>
      <c r="D332" s="21">
        <f t="shared" si="107"/>
        <v>315.37235663918494</v>
      </c>
      <c r="E332" s="21">
        <f t="shared" si="104"/>
        <v>315.48722892846962</v>
      </c>
      <c r="F332" s="21">
        <f t="shared" si="98"/>
        <v>315.37235663918494</v>
      </c>
      <c r="G332" s="6">
        <f t="shared" si="99"/>
        <v>1.6646585354135364</v>
      </c>
      <c r="H332" s="22">
        <f t="shared" si="100"/>
        <v>342.83843108458433</v>
      </c>
      <c r="I332" s="21">
        <f t="shared" si="101"/>
        <v>0</v>
      </c>
      <c r="J332" s="1">
        <f t="shared" si="108"/>
        <v>0</v>
      </c>
      <c r="K332" s="21">
        <f t="shared" si="102"/>
        <v>69.91307372374672</v>
      </c>
      <c r="L332" s="3">
        <v>0</v>
      </c>
      <c r="M332" s="7">
        <f t="shared" si="109"/>
        <v>-2133.4604708776574</v>
      </c>
      <c r="N332" s="16">
        <f t="shared" si="103"/>
        <v>0</v>
      </c>
      <c r="O332" s="12"/>
    </row>
    <row r="333" spans="2:15">
      <c r="B333" s="17">
        <f t="shared" si="105"/>
        <v>0.54794780208906158</v>
      </c>
      <c r="C333" s="17">
        <f t="shared" si="106"/>
        <v>0.54794780208906158</v>
      </c>
      <c r="D333" s="21">
        <f t="shared" si="107"/>
        <v>316.92980468319718</v>
      </c>
      <c r="E333" s="21">
        <f t="shared" si="104"/>
        <v>317.06040877090624</v>
      </c>
      <c r="F333" s="21">
        <f t="shared" si="98"/>
        <v>316.92980468319718</v>
      </c>
      <c r="G333" s="6">
        <f t="shared" si="99"/>
        <v>1.6365124122935344</v>
      </c>
      <c r="H333" s="22">
        <f t="shared" si="100"/>
        <v>343.68393233322985</v>
      </c>
      <c r="I333" s="21">
        <f t="shared" si="101"/>
        <v>0</v>
      </c>
      <c r="J333" s="1">
        <f t="shared" si="108"/>
        <v>0</v>
      </c>
      <c r="K333" s="21">
        <f t="shared" si="102"/>
        <v>69.731983384720309</v>
      </c>
      <c r="L333" s="3">
        <v>0</v>
      </c>
      <c r="M333" s="7">
        <f t="shared" si="109"/>
        <v>-2097.1040287436863</v>
      </c>
      <c r="N333" s="16">
        <f t="shared" si="103"/>
        <v>0</v>
      </c>
      <c r="O333" s="12"/>
    </row>
    <row r="334" spans="2:15">
      <c r="B334" s="17">
        <f t="shared" si="105"/>
        <v>0.55985971083012809</v>
      </c>
      <c r="C334" s="17">
        <f t="shared" si="106"/>
        <v>0.55985971083012809</v>
      </c>
      <c r="D334" s="21">
        <f t="shared" si="107"/>
        <v>318.44372205544687</v>
      </c>
      <c r="E334" s="21">
        <f t="shared" si="104"/>
        <v>318.58961823782511</v>
      </c>
      <c r="F334" s="21">
        <f t="shared" si="98"/>
        <v>318.44372205544687</v>
      </c>
      <c r="G334" s="6">
        <f t="shared" si="99"/>
        <v>1.609344002171919</v>
      </c>
      <c r="H334" s="22">
        <f t="shared" si="100"/>
        <v>344.50381293719357</v>
      </c>
      <c r="I334" s="21">
        <f t="shared" si="101"/>
        <v>0</v>
      </c>
      <c r="J334" s="1">
        <f t="shared" si="108"/>
        <v>0</v>
      </c>
      <c r="K334" s="21">
        <f t="shared" si="102"/>
        <v>69.486598850360735</v>
      </c>
      <c r="L334" s="3">
        <v>0</v>
      </c>
      <c r="M334" s="7">
        <f t="shared" si="109"/>
        <v>-2062.0226277160459</v>
      </c>
      <c r="N334" s="16">
        <f t="shared" si="103"/>
        <v>0</v>
      </c>
      <c r="O334" s="12"/>
    </row>
    <row r="335" spans="2:15">
      <c r="B335" s="17">
        <f t="shared" si="105"/>
        <v>0.5717716195711946</v>
      </c>
      <c r="C335" s="17">
        <f t="shared" si="106"/>
        <v>0.5717716195711946</v>
      </c>
      <c r="D335" s="21">
        <f t="shared" si="107"/>
        <v>319.91550323658282</v>
      </c>
      <c r="E335" s="21">
        <f t="shared" si="104"/>
        <v>320.0762658955382</v>
      </c>
      <c r="F335" s="21">
        <f t="shared" si="98"/>
        <v>319.91550323658282</v>
      </c>
      <c r="G335" s="6">
        <f t="shared" si="99"/>
        <v>1.583099098561711</v>
      </c>
      <c r="H335" s="22">
        <f t="shared" si="100"/>
        <v>345.29900796174712</v>
      </c>
      <c r="I335" s="21">
        <f t="shared" si="101"/>
        <v>0</v>
      </c>
      <c r="J335" s="1">
        <f t="shared" si="108"/>
        <v>0</v>
      </c>
      <c r="K335" s="21">
        <f t="shared" si="102"/>
        <v>69.179331586110067</v>
      </c>
      <c r="L335" s="3">
        <v>0</v>
      </c>
      <c r="M335" s="7">
        <f t="shared" si="109"/>
        <v>-2028.1448658017366</v>
      </c>
      <c r="N335" s="16">
        <f t="shared" si="103"/>
        <v>0</v>
      </c>
      <c r="O335" s="12"/>
    </row>
    <row r="336" spans="2:15">
      <c r="B336" s="17">
        <f t="shared" si="105"/>
        <v>0.58368352831226111</v>
      </c>
      <c r="C336" s="17">
        <f t="shared" si="106"/>
        <v>0.58368352831226111</v>
      </c>
      <c r="D336" s="21">
        <f t="shared" si="107"/>
        <v>321.34647621188185</v>
      </c>
      <c r="E336" s="21">
        <f t="shared" si="104"/>
        <v>321.52169314331496</v>
      </c>
      <c r="F336" s="21">
        <f t="shared" si="98"/>
        <v>321.34647621188185</v>
      </c>
      <c r="G336" s="6">
        <f t="shared" si="99"/>
        <v>1.5577275976588456</v>
      </c>
      <c r="H336" s="22">
        <f t="shared" si="100"/>
        <v>346.0704026536668</v>
      </c>
      <c r="I336" s="21">
        <f t="shared" si="101"/>
        <v>0</v>
      </c>
      <c r="J336" s="1">
        <f t="shared" si="108"/>
        <v>0</v>
      </c>
      <c r="K336" s="21">
        <f t="shared" si="102"/>
        <v>68.812474684250191</v>
      </c>
      <c r="L336" s="3">
        <v>0</v>
      </c>
      <c r="M336" s="7">
        <f t="shared" si="109"/>
        <v>-1995.4047988439447</v>
      </c>
      <c r="N336" s="16">
        <f t="shared" si="103"/>
        <v>0</v>
      </c>
      <c r="O336" s="12"/>
    </row>
    <row r="337" spans="2:15">
      <c r="B337" s="17">
        <f t="shared" si="105"/>
        <v>0.59559543705332785</v>
      </c>
      <c r="C337" s="17">
        <f>C312*I10</f>
        <v>0.59559543705332785</v>
      </c>
      <c r="D337" s="21">
        <f t="shared" si="107"/>
        <v>322.73790706972119</v>
      </c>
      <c r="E337" s="21">
        <f t="shared" si="104"/>
        <v>322.92717885830422</v>
      </c>
      <c r="F337" s="21">
        <f t="shared" si="98"/>
        <v>322.73790706972119</v>
      </c>
      <c r="G337" s="6">
        <f t="shared" si="99"/>
        <v>1.5331831099191626</v>
      </c>
      <c r="H337" s="22">
        <f t="shared" si="100"/>
        <v>346.81883610258308</v>
      </c>
      <c r="I337" s="21">
        <f t="shared" si="101"/>
        <v>0</v>
      </c>
      <c r="J337" s="1">
        <f t="shared" si="108"/>
        <v>0</v>
      </c>
      <c r="K337" s="21">
        <f t="shared" si="102"/>
        <v>68.388210849231996</v>
      </c>
      <c r="L337" s="3">
        <v>0</v>
      </c>
      <c r="M337" s="7">
        <f t="shared" si="109"/>
        <v>-1963.7414187427842</v>
      </c>
      <c r="N337" s="16">
        <f t="shared" si="103"/>
        <v>0</v>
      </c>
      <c r="O337" s="12"/>
    </row>
    <row r="338" spans="2:15">
      <c r="B338" s="17"/>
      <c r="C338" s="17"/>
      <c r="G338" s="1"/>
      <c r="H338" s="22"/>
      <c r="I338" s="22"/>
      <c r="J338" s="1"/>
      <c r="K338" s="22"/>
      <c r="M338" s="15">
        <f>SUM(M312:M337)</f>
        <v>-62246.224152963907</v>
      </c>
      <c r="N338" s="15"/>
      <c r="O338" s="83" t="s">
        <v>124</v>
      </c>
    </row>
    <row r="339" spans="2:15">
      <c r="B339" s="20" t="s">
        <v>49</v>
      </c>
      <c r="C339" s="18" t="s">
        <v>118</v>
      </c>
      <c r="D339" s="14">
        <f>$D$4</f>
        <v>1.3</v>
      </c>
      <c r="E339" s="4" t="s">
        <v>119</v>
      </c>
      <c r="F339" s="4">
        <f>C$4*D339/(D339-1)</f>
        <v>1242.3218390804595</v>
      </c>
      <c r="G339" s="6"/>
      <c r="H339" s="21"/>
      <c r="I339" s="22"/>
      <c r="J339" s="1"/>
      <c r="K339" s="22"/>
      <c r="M339" s="3"/>
      <c r="O339" s="12"/>
    </row>
    <row r="340" spans="2:15">
      <c r="B340" s="17" t="s">
        <v>5</v>
      </c>
      <c r="C340" s="17" t="s">
        <v>121</v>
      </c>
      <c r="D340" t="s">
        <v>41</v>
      </c>
      <c r="E340" t="s">
        <v>123</v>
      </c>
      <c r="F340" t="s">
        <v>143</v>
      </c>
      <c r="G340" s="1" t="s">
        <v>15</v>
      </c>
      <c r="H340" s="22" t="s">
        <v>46</v>
      </c>
      <c r="I340" s="21" t="s">
        <v>47</v>
      </c>
      <c r="J340" s="6" t="s">
        <v>115</v>
      </c>
      <c r="K340" s="22" t="s">
        <v>98</v>
      </c>
      <c r="L340" s="4" t="s">
        <v>45</v>
      </c>
      <c r="M340" s="10" t="s">
        <v>44</v>
      </c>
      <c r="N340" s="10" t="s">
        <v>48</v>
      </c>
      <c r="O340" s="81" t="s">
        <v>9</v>
      </c>
    </row>
    <row r="341" spans="2:15">
      <c r="B341" s="17">
        <f>B337</f>
        <v>0.59559543705332785</v>
      </c>
      <c r="C341" s="17">
        <f>C337</f>
        <v>0.59559543705332785</v>
      </c>
      <c r="D341" s="21">
        <f>D337</f>
        <v>322.73790706972119</v>
      </c>
      <c r="E341" s="21">
        <f>E337</f>
        <v>322.92717885830422</v>
      </c>
      <c r="F341" s="21">
        <f>E341*(1-$K$7)+$K$7*$I$12</f>
        <v>322.73790706972119</v>
      </c>
      <c r="G341" s="1">
        <f>G337</f>
        <v>1.5331831099191626</v>
      </c>
      <c r="H341" s="22">
        <f>H337</f>
        <v>346.81883610258308</v>
      </c>
      <c r="I341" s="22">
        <f>I337</f>
        <v>0</v>
      </c>
      <c r="J341" s="1">
        <f>J337</f>
        <v>0</v>
      </c>
      <c r="K341" s="21">
        <f t="shared" ref="K341:K366" si="110">$F$339*LN(D341/$G$4)-$C$4*LN(B341/$H$4)</f>
        <v>68.388210849231996</v>
      </c>
      <c r="L341" s="3">
        <v>0</v>
      </c>
      <c r="M341">
        <v>0</v>
      </c>
      <c r="N341" s="16">
        <f t="shared" ref="N341:N366" si="111">$B$17*G341/(I341+0.0000000001)*$I$8</f>
        <v>0</v>
      </c>
      <c r="O341" s="12" t="s">
        <v>10</v>
      </c>
    </row>
    <row r="342" spans="2:15">
      <c r="B342" s="17">
        <f>B341+(B$366-B$341)/25</f>
        <v>0.58177161957119472</v>
      </c>
      <c r="C342" s="19">
        <f>C341+(C$366-C$341)/25</f>
        <v>0.5951189607036852</v>
      </c>
      <c r="D342" s="21">
        <f>F341*(B342/C342)^((D$339-1)/D$339)</f>
        <v>321.05291064597753</v>
      </c>
      <c r="E342" s="21">
        <f>F341</f>
        <v>322.73790706972119</v>
      </c>
      <c r="F342" s="21">
        <f>E342*(1-$K$7)+$K$7*$I$12</f>
        <v>322.55052799902398</v>
      </c>
      <c r="G342" s="6">
        <f t="shared" ref="G342:G366" si="112">($C$4*D342)/(101325*B342)</f>
        <v>1.5614191090649732</v>
      </c>
      <c r="H342" s="22">
        <f t="shared" ref="H342:H366" si="113">SQRT($D$339*$C$4*D342)</f>
        <v>345.9122904997069</v>
      </c>
      <c r="I342" s="22">
        <f>H342*J342</f>
        <v>64.704062561623104</v>
      </c>
      <c r="J342" s="1">
        <f>SQRT((2/(D$339-1))*(F341/D342-1))</f>
        <v>0.1870533783814135</v>
      </c>
      <c r="K342" s="21">
        <f t="shared" si="110"/>
        <v>68.617654363017209</v>
      </c>
      <c r="L342" s="3">
        <v>0</v>
      </c>
      <c r="M342">
        <v>0</v>
      </c>
      <c r="N342" s="16">
        <f t="shared" si="111"/>
        <v>0</v>
      </c>
      <c r="O342" s="12" t="s">
        <v>11</v>
      </c>
    </row>
    <row r="343" spans="2:15">
      <c r="B343" s="17">
        <f t="shared" ref="B343:B365" si="114">B342+(B$366-B$341)/25</f>
        <v>0.56794780208906159</v>
      </c>
      <c r="C343" s="19">
        <f t="shared" ref="C343:C365" si="115">C342+(C$366-C$341)/25</f>
        <v>0.59464248435404254</v>
      </c>
      <c r="D343" s="21">
        <f t="shared" ref="D343:D366" si="116">F342*(B343/C343)^((D$339-1)/D$339)</f>
        <v>319.14973295246352</v>
      </c>
      <c r="E343" s="21">
        <f t="shared" ref="E343:E366" si="117">F342</f>
        <v>322.55052799902398</v>
      </c>
      <c r="F343" s="21">
        <f t="shared" ref="F343:F366" si="118">E343*(1-$K$7)+$K$7*$H$12</f>
        <v>328.11502271903379</v>
      </c>
      <c r="G343" s="6">
        <f t="shared" si="112"/>
        <v>1.5899426962677798</v>
      </c>
      <c r="H343" s="22">
        <f t="shared" si="113"/>
        <v>344.88549542574651</v>
      </c>
      <c r="I343" s="22">
        <f t="shared" ref="I343:I366" si="119">H343*J343</f>
        <v>91.922597402147986</v>
      </c>
      <c r="J343" s="1">
        <f t="shared" ref="J343:J366" si="120">SQRT((2/(D$339-1))*(F342/D343-1))</f>
        <v>0.26653077215866511</v>
      </c>
      <c r="K343" s="21">
        <f t="shared" si="110"/>
        <v>68.125789973076792</v>
      </c>
      <c r="L343" s="3">
        <v>0</v>
      </c>
      <c r="M343">
        <v>0</v>
      </c>
      <c r="N343" s="16">
        <f t="shared" si="111"/>
        <v>0</v>
      </c>
      <c r="O343" s="12" t="s">
        <v>12</v>
      </c>
    </row>
    <row r="344" spans="2:15">
      <c r="B344" s="17">
        <f t="shared" si="114"/>
        <v>0.55412398460692847</v>
      </c>
      <c r="C344" s="19">
        <f t="shared" si="115"/>
        <v>0.59416600800439989</v>
      </c>
      <c r="D344" s="21">
        <f t="shared" si="116"/>
        <v>322.87439859387013</v>
      </c>
      <c r="E344" s="21">
        <f t="shared" si="117"/>
        <v>328.11502271903379</v>
      </c>
      <c r="F344" s="21">
        <f t="shared" si="118"/>
        <v>333.62387249184349</v>
      </c>
      <c r="G344" s="6">
        <f t="shared" si="112"/>
        <v>1.6486257225352152</v>
      </c>
      <c r="H344" s="22">
        <f t="shared" si="113"/>
        <v>346.89216623605131</v>
      </c>
      <c r="I344" s="22">
        <f t="shared" si="119"/>
        <v>114.10996276489398</v>
      </c>
      <c r="J344" s="1">
        <f t="shared" si="120"/>
        <v>0.32894937929282914</v>
      </c>
      <c r="K344" s="21">
        <f t="shared" si="110"/>
        <v>89.604803300273829</v>
      </c>
      <c r="L344" s="3">
        <v>0</v>
      </c>
      <c r="M344">
        <v>0</v>
      </c>
      <c r="N344" s="16">
        <f t="shared" si="111"/>
        <v>0</v>
      </c>
      <c r="O344" s="12" t="s">
        <v>13</v>
      </c>
    </row>
    <row r="345" spans="2:15">
      <c r="B345" s="17">
        <f t="shared" si="114"/>
        <v>0.54030016712479534</v>
      </c>
      <c r="C345" s="19">
        <f t="shared" si="115"/>
        <v>0.59368953165475724</v>
      </c>
      <c r="D345" s="21">
        <f t="shared" si="116"/>
        <v>326.44727844879702</v>
      </c>
      <c r="E345" s="21">
        <f t="shared" si="117"/>
        <v>333.62387249184349</v>
      </c>
      <c r="F345" s="21">
        <f t="shared" si="118"/>
        <v>339.07763376692509</v>
      </c>
      <c r="G345" s="6">
        <f t="shared" si="112"/>
        <v>1.7095167494813448</v>
      </c>
      <c r="H345" s="22">
        <f t="shared" si="113"/>
        <v>348.80621410404393</v>
      </c>
      <c r="I345" s="22">
        <f t="shared" si="119"/>
        <v>133.53381227158454</v>
      </c>
      <c r="J345" s="1">
        <f t="shared" si="120"/>
        <v>0.3828309441521397</v>
      </c>
      <c r="K345" s="21">
        <f t="shared" si="110"/>
        <v>110.5194604028361</v>
      </c>
      <c r="L345" s="3">
        <v>0</v>
      </c>
      <c r="M345">
        <v>0</v>
      </c>
      <c r="N345" s="16">
        <f t="shared" si="111"/>
        <v>0</v>
      </c>
      <c r="O345" s="12"/>
    </row>
    <row r="346" spans="2:15">
      <c r="B346" s="17">
        <f t="shared" si="114"/>
        <v>0.52647634964266221</v>
      </c>
      <c r="C346" s="19">
        <f t="shared" si="115"/>
        <v>0.59321305530511459</v>
      </c>
      <c r="D346" s="21">
        <f t="shared" si="116"/>
        <v>329.86630170325344</v>
      </c>
      <c r="E346" s="21">
        <f t="shared" si="117"/>
        <v>339.07763376692509</v>
      </c>
      <c r="F346" s="21">
        <f t="shared" si="118"/>
        <v>344.47685742925586</v>
      </c>
      <c r="G346" s="6">
        <f t="shared" si="112"/>
        <v>1.7727785760994967</v>
      </c>
      <c r="H346" s="22">
        <f t="shared" si="113"/>
        <v>350.62805531616647</v>
      </c>
      <c r="I346" s="22">
        <f t="shared" si="119"/>
        <v>151.28409691518405</v>
      </c>
      <c r="J346" s="1">
        <f t="shared" si="120"/>
        <v>0.43146603536550709</v>
      </c>
      <c r="K346" s="21">
        <f t="shared" si="110"/>
        <v>130.89371694090752</v>
      </c>
      <c r="L346" s="3">
        <v>0</v>
      </c>
      <c r="M346">
        <v>0</v>
      </c>
      <c r="N346" s="16">
        <f t="shared" si="111"/>
        <v>0</v>
      </c>
      <c r="O346" s="12"/>
    </row>
    <row r="347" spans="2:15">
      <c r="B347" s="17">
        <f t="shared" si="114"/>
        <v>0.51265253216052908</v>
      </c>
      <c r="C347" s="19">
        <f t="shared" si="115"/>
        <v>0.59273657895547194</v>
      </c>
      <c r="D347" s="21">
        <f t="shared" si="116"/>
        <v>333.12918026710764</v>
      </c>
      <c r="E347" s="21">
        <f t="shared" si="117"/>
        <v>344.47685742925586</v>
      </c>
      <c r="F347" s="21">
        <f t="shared" si="118"/>
        <v>349.82208885496334</v>
      </c>
      <c r="G347" s="6">
        <f t="shared" si="112"/>
        <v>1.8385903618828294</v>
      </c>
      <c r="H347" s="22">
        <f t="shared" si="113"/>
        <v>352.35791003500935</v>
      </c>
      <c r="I347" s="22">
        <f t="shared" si="119"/>
        <v>167.91347272551596</v>
      </c>
      <c r="J347" s="1">
        <f t="shared" si="120"/>
        <v>0.47654236769889036</v>
      </c>
      <c r="K347" s="21">
        <f t="shared" si="110"/>
        <v>150.75006106791335</v>
      </c>
      <c r="L347" s="3">
        <v>0</v>
      </c>
      <c r="M347">
        <v>0</v>
      </c>
      <c r="N347" s="16">
        <f t="shared" si="111"/>
        <v>0</v>
      </c>
      <c r="O347" s="12"/>
    </row>
    <row r="348" spans="2:15">
      <c r="B348" s="17">
        <f t="shared" si="114"/>
        <v>0.49882871467839596</v>
      </c>
      <c r="C348" s="19">
        <f t="shared" si="115"/>
        <v>0.59226010260582929</v>
      </c>
      <c r="D348" s="21">
        <f t="shared" si="116"/>
        <v>336.23338796217195</v>
      </c>
      <c r="E348" s="21">
        <f t="shared" si="117"/>
        <v>349.82208885496334</v>
      </c>
      <c r="F348" s="21">
        <f t="shared" si="118"/>
        <v>355.11386796641375</v>
      </c>
      <c r="G348" s="6">
        <f t="shared" si="112"/>
        <v>1.9071497757331868</v>
      </c>
      <c r="H348" s="22">
        <f t="shared" si="113"/>
        <v>353.99579696378566</v>
      </c>
      <c r="I348" s="22">
        <f t="shared" si="119"/>
        <v>183.7473258790281</v>
      </c>
      <c r="J348" s="1">
        <f t="shared" si="120"/>
        <v>0.51906640546307314</v>
      </c>
      <c r="K348" s="21">
        <f t="shared" si="110"/>
        <v>170.10963086290027</v>
      </c>
      <c r="L348" s="3">
        <v>0</v>
      </c>
      <c r="M348">
        <v>0</v>
      </c>
      <c r="N348" s="16">
        <f t="shared" si="111"/>
        <v>0</v>
      </c>
      <c r="O348" s="12"/>
    </row>
    <row r="349" spans="2:15">
      <c r="B349" s="17">
        <f t="shared" si="114"/>
        <v>0.48500489719626283</v>
      </c>
      <c r="C349" s="19">
        <f t="shared" si="115"/>
        <v>0.59178362625618663</v>
      </c>
      <c r="D349" s="21">
        <f t="shared" si="116"/>
        <v>339.17613695684412</v>
      </c>
      <c r="E349" s="21">
        <f t="shared" si="117"/>
        <v>355.11386796641375</v>
      </c>
      <c r="F349" s="21">
        <f t="shared" si="118"/>
        <v>360.35272928674965</v>
      </c>
      <c r="G349" s="6">
        <f t="shared" si="112"/>
        <v>1.9786754963017235</v>
      </c>
      <c r="H349" s="22">
        <f t="shared" si="113"/>
        <v>355.54152594448055</v>
      </c>
      <c r="I349" s="22">
        <f t="shared" si="119"/>
        <v>198.9964386544554</v>
      </c>
      <c r="J349" s="1">
        <f t="shared" si="120"/>
        <v>0.55969956849858826</v>
      </c>
      <c r="K349" s="21">
        <f t="shared" si="110"/>
        <v>188.9923202457658</v>
      </c>
      <c r="L349" s="3">
        <v>0</v>
      </c>
      <c r="M349">
        <v>0</v>
      </c>
      <c r="N349" s="16">
        <f t="shared" si="111"/>
        <v>0</v>
      </c>
      <c r="O349" s="12"/>
    </row>
    <row r="350" spans="2:15">
      <c r="B350" s="17">
        <f t="shared" si="114"/>
        <v>0.4711810797141297</v>
      </c>
      <c r="C350" s="19">
        <f t="shared" si="115"/>
        <v>0.59130714990654398</v>
      </c>
      <c r="D350" s="21">
        <f t="shared" si="116"/>
        <v>341.95435099423241</v>
      </c>
      <c r="E350" s="21">
        <f t="shared" si="117"/>
        <v>360.35272928674965</v>
      </c>
      <c r="F350" s="21">
        <f t="shared" si="118"/>
        <v>365.53920199388216</v>
      </c>
      <c r="G350" s="6">
        <f t="shared" si="112"/>
        <v>2.0534101332143746</v>
      </c>
      <c r="H350" s="22">
        <f t="shared" si="113"/>
        <v>356.99468828347568</v>
      </c>
      <c r="I350" s="22">
        <f t="shared" si="119"/>
        <v>213.80695571687102</v>
      </c>
      <c r="J350" s="1">
        <f t="shared" si="120"/>
        <v>0.5989079466277526</v>
      </c>
      <c r="K350" s="21">
        <f t="shared" si="110"/>
        <v>207.41687470478081</v>
      </c>
      <c r="L350" s="3">
        <v>0</v>
      </c>
      <c r="M350">
        <v>0</v>
      </c>
      <c r="N350" s="16">
        <f t="shared" si="111"/>
        <v>0</v>
      </c>
      <c r="O350" s="12"/>
    </row>
    <row r="351" spans="2:15">
      <c r="B351" s="17">
        <f t="shared" si="114"/>
        <v>0.45735726223199658</v>
      </c>
      <c r="C351" s="19">
        <f t="shared" si="115"/>
        <v>0.59083067355690133</v>
      </c>
      <c r="D351" s="21">
        <f t="shared" si="116"/>
        <v>344.56463487033187</v>
      </c>
      <c r="E351" s="21">
        <f t="shared" si="117"/>
        <v>365.53920199388216</v>
      </c>
      <c r="F351" s="21">
        <f t="shared" si="118"/>
        <v>370.67380997394338</v>
      </c>
      <c r="G351" s="6">
        <f t="shared" si="112"/>
        <v>2.1316236548702294</v>
      </c>
      <c r="H351" s="22">
        <f t="shared" si="113"/>
        <v>358.35464453842275</v>
      </c>
      <c r="I351" s="22">
        <f t="shared" si="119"/>
        <v>228.28562286243746</v>
      </c>
      <c r="J351" s="1">
        <f t="shared" si="120"/>
        <v>0.63703827016524328</v>
      </c>
      <c r="K351" s="21">
        <f t="shared" si="110"/>
        <v>225.40097799016394</v>
      </c>
      <c r="L351" s="3">
        <v>0</v>
      </c>
      <c r="M351">
        <v>0</v>
      </c>
      <c r="N351" s="16">
        <f t="shared" si="111"/>
        <v>0</v>
      </c>
      <c r="O351" s="12"/>
    </row>
    <row r="352" spans="2:15">
      <c r="B352" s="17">
        <f t="shared" si="114"/>
        <v>0.44353344474986345</v>
      </c>
      <c r="C352" s="19">
        <f t="shared" si="115"/>
        <v>0.59035419720725868</v>
      </c>
      <c r="D352" s="21">
        <f t="shared" si="116"/>
        <v>347.00323950710094</v>
      </c>
      <c r="E352" s="21">
        <f t="shared" si="117"/>
        <v>370.67380997394338</v>
      </c>
      <c r="F352" s="21">
        <f t="shared" si="118"/>
        <v>375.75707187420397</v>
      </c>
      <c r="G352" s="6">
        <f t="shared" si="112"/>
        <v>2.2136174291536248</v>
      </c>
      <c r="H352" s="22">
        <f t="shared" si="113"/>
        <v>359.62050942820497</v>
      </c>
      <c r="I352" s="22">
        <f t="shared" si="119"/>
        <v>242.51377954438524</v>
      </c>
      <c r="J352" s="1">
        <f t="shared" si="120"/>
        <v>0.67436025806754207</v>
      </c>
      <c r="K352" s="21">
        <f t="shared" si="110"/>
        <v>242.96133077785106</v>
      </c>
      <c r="L352" s="3">
        <v>0</v>
      </c>
      <c r="M352">
        <v>0</v>
      </c>
      <c r="N352" s="16">
        <f t="shared" si="111"/>
        <v>0</v>
      </c>
      <c r="O352" s="12"/>
    </row>
    <row r="353" spans="2:15">
      <c r="B353" s="17">
        <f t="shared" si="114"/>
        <v>0.42970962726773032</v>
      </c>
      <c r="C353" s="19">
        <f t="shared" si="115"/>
        <v>0.58987772085761603</v>
      </c>
      <c r="D353" s="21">
        <f t="shared" si="116"/>
        <v>349.26602182632092</v>
      </c>
      <c r="E353" s="21">
        <f t="shared" si="117"/>
        <v>375.75707187420397</v>
      </c>
      <c r="F353" s="21">
        <f t="shared" si="118"/>
        <v>380.78950115546195</v>
      </c>
      <c r="G353" s="6">
        <f t="shared" si="112"/>
        <v>2.2997290098537539</v>
      </c>
      <c r="H353" s="22">
        <f t="shared" si="113"/>
        <v>360.79113344021812</v>
      </c>
      <c r="I353" s="22">
        <f t="shared" si="119"/>
        <v>256.55568602024238</v>
      </c>
      <c r="J353" s="1">
        <f t="shared" si="120"/>
        <v>0.71109199268266599</v>
      </c>
      <c r="K353" s="21">
        <f t="shared" si="110"/>
        <v>260.11372217973565</v>
      </c>
      <c r="L353" s="3">
        <v>0</v>
      </c>
      <c r="M353">
        <v>0</v>
      </c>
      <c r="N353" s="16">
        <f t="shared" si="111"/>
        <v>0</v>
      </c>
      <c r="O353" s="12"/>
    </row>
    <row r="354" spans="2:15">
      <c r="B354" s="17">
        <f t="shared" si="114"/>
        <v>0.41588580978559719</v>
      </c>
      <c r="C354" s="19">
        <f t="shared" si="115"/>
        <v>0.58940124450797338</v>
      </c>
      <c r="D354" s="21">
        <f t="shared" si="116"/>
        <v>351.3483984561687</v>
      </c>
      <c r="E354" s="21">
        <f t="shared" si="117"/>
        <v>380.78950115546195</v>
      </c>
      <c r="F354" s="21">
        <f t="shared" si="118"/>
        <v>385.77160614390732</v>
      </c>
      <c r="G354" s="6">
        <f t="shared" si="112"/>
        <v>2.3903378357140741</v>
      </c>
      <c r="H354" s="22">
        <f t="shared" si="113"/>
        <v>361.86508060106115</v>
      </c>
      <c r="I354" s="22">
        <f t="shared" si="119"/>
        <v>270.46376781351933</v>
      </c>
      <c r="J354" s="1">
        <f t="shared" si="120"/>
        <v>0.74741604623545488</v>
      </c>
      <c r="K354" s="21">
        <f t="shared" si="110"/>
        <v>276.87309486710399</v>
      </c>
      <c r="L354" s="3">
        <v>0</v>
      </c>
      <c r="M354">
        <v>0</v>
      </c>
      <c r="N354" s="16">
        <f t="shared" si="111"/>
        <v>0</v>
      </c>
      <c r="O354" s="12"/>
    </row>
    <row r="355" spans="2:15">
      <c r="B355" s="17">
        <f t="shared" si="114"/>
        <v>0.40206199230346407</v>
      </c>
      <c r="C355" s="19">
        <f t="shared" si="115"/>
        <v>0.58892476815833072</v>
      </c>
      <c r="D355" s="21">
        <f t="shared" si="116"/>
        <v>353.24529208317654</v>
      </c>
      <c r="E355" s="21">
        <f t="shared" si="117"/>
        <v>385.77160614390732</v>
      </c>
      <c r="F355" s="21">
        <f t="shared" si="118"/>
        <v>390.70389008246826</v>
      </c>
      <c r="G355" s="6">
        <f t="shared" si="112"/>
        <v>2.4858720534042162</v>
      </c>
      <c r="H355" s="22">
        <f t="shared" si="113"/>
        <v>362.84060174157162</v>
      </c>
      <c r="I355" s="22">
        <f t="shared" si="119"/>
        <v>284.28207928898945</v>
      </c>
      <c r="J355" s="1">
        <f t="shared" si="120"/>
        <v>0.78349026521421539</v>
      </c>
      <c r="K355" s="21">
        <f t="shared" si="110"/>
        <v>293.25360447977727</v>
      </c>
      <c r="L355" s="3">
        <v>0</v>
      </c>
      <c r="M355">
        <v>0</v>
      </c>
      <c r="N355" s="16">
        <f t="shared" si="111"/>
        <v>0</v>
      </c>
      <c r="O355" s="12"/>
    </row>
    <row r="356" spans="2:15">
      <c r="B356" s="17">
        <f t="shared" si="114"/>
        <v>0.38823817482133094</v>
      </c>
      <c r="C356" s="19">
        <f t="shared" si="115"/>
        <v>0.58844829180868807</v>
      </c>
      <c r="D356" s="21">
        <f t="shared" si="116"/>
        <v>354.95106898392237</v>
      </c>
      <c r="E356" s="21">
        <f t="shared" si="117"/>
        <v>390.70389008246826</v>
      </c>
      <c r="F356" s="21">
        <f t="shared" si="118"/>
        <v>395.58685118164362</v>
      </c>
      <c r="G356" s="6">
        <f t="shared" si="112"/>
        <v>2.5868167338658941</v>
      </c>
      <c r="H356" s="22">
        <f t="shared" si="113"/>
        <v>363.71560241637212</v>
      </c>
      <c r="I356" s="22">
        <f t="shared" si="119"/>
        <v>298.04868883945852</v>
      </c>
      <c r="J356" s="1">
        <f t="shared" si="120"/>
        <v>0.81945532954690292</v>
      </c>
      <c r="K356" s="21">
        <f t="shared" si="110"/>
        <v>309.2686739122895</v>
      </c>
      <c r="L356" s="3">
        <v>0</v>
      </c>
      <c r="M356">
        <v>0</v>
      </c>
      <c r="N356" s="16">
        <f t="shared" si="111"/>
        <v>0</v>
      </c>
      <c r="O356" s="12"/>
    </row>
    <row r="357" spans="2:15">
      <c r="B357" s="17">
        <f t="shared" si="114"/>
        <v>0.37441435733919781</v>
      </c>
      <c r="C357" s="19">
        <f t="shared" si="115"/>
        <v>0.58797181545904542</v>
      </c>
      <c r="D357" s="21">
        <f t="shared" si="116"/>
        <v>356.45946591472637</v>
      </c>
      <c r="E357" s="21">
        <f t="shared" si="117"/>
        <v>395.58685118164362</v>
      </c>
      <c r="F357" s="21">
        <f t="shared" si="118"/>
        <v>400.4209826698272</v>
      </c>
      <c r="G357" s="6">
        <f t="shared" si="112"/>
        <v>2.6937238283812759</v>
      </c>
      <c r="H357" s="22">
        <f t="shared" si="113"/>
        <v>364.48760442002191</v>
      </c>
      <c r="I357" s="22">
        <f t="shared" si="119"/>
        <v>311.79738684987836</v>
      </c>
      <c r="J357" s="1">
        <f t="shared" si="120"/>
        <v>0.85544030323339804</v>
      </c>
      <c r="K357" s="21">
        <f t="shared" si="110"/>
        <v>324.93104299824194</v>
      </c>
      <c r="L357" s="3">
        <v>0</v>
      </c>
      <c r="M357">
        <v>0</v>
      </c>
      <c r="N357" s="16">
        <f t="shared" si="111"/>
        <v>0</v>
      </c>
      <c r="O357" s="12"/>
    </row>
    <row r="358" spans="2:15">
      <c r="B358" s="17">
        <f t="shared" si="114"/>
        <v>0.36059053985706468</v>
      </c>
      <c r="C358" s="19">
        <f t="shared" si="115"/>
        <v>0.58749533910940277</v>
      </c>
      <c r="D358" s="21">
        <f t="shared" si="116"/>
        <v>357.76350407838396</v>
      </c>
      <c r="E358" s="21">
        <f t="shared" si="117"/>
        <v>400.4209826698272</v>
      </c>
      <c r="F358" s="21">
        <f t="shared" si="118"/>
        <v>405.20677284312893</v>
      </c>
      <c r="G358" s="6">
        <f t="shared" si="112"/>
        <v>2.8072243133313526</v>
      </c>
      <c r="H358" s="22">
        <f t="shared" si="113"/>
        <v>365.15369956055252</v>
      </c>
      <c r="I358" s="22">
        <f t="shared" si="119"/>
        <v>325.55895703929605</v>
      </c>
      <c r="J358" s="1">
        <f t="shared" si="120"/>
        <v>0.89156691396278576</v>
      </c>
      <c r="K358" s="21">
        <f t="shared" si="110"/>
        <v>340.25281405316099</v>
      </c>
      <c r="L358" s="3">
        <v>0</v>
      </c>
      <c r="M358">
        <v>0</v>
      </c>
      <c r="N358" s="16">
        <f t="shared" si="111"/>
        <v>0</v>
      </c>
      <c r="O358" s="12"/>
    </row>
    <row r="359" spans="2:15">
      <c r="B359" s="17">
        <f t="shared" si="114"/>
        <v>0.34676672237493156</v>
      </c>
      <c r="C359" s="19">
        <f t="shared" si="115"/>
        <v>0.58701886275976012</v>
      </c>
      <c r="D359" s="21">
        <f t="shared" si="116"/>
        <v>358.85538728942851</v>
      </c>
      <c r="E359" s="21">
        <f t="shared" si="117"/>
        <v>405.20677284312893</v>
      </c>
      <c r="F359" s="21">
        <f t="shared" si="118"/>
        <v>409.94470511469768</v>
      </c>
      <c r="G359" s="6">
        <f t="shared" si="112"/>
        <v>2.9280431109206506</v>
      </c>
      <c r="H359" s="22">
        <f t="shared" si="113"/>
        <v>365.71049398451783</v>
      </c>
      <c r="I359" s="22">
        <f t="shared" si="119"/>
        <v>339.36216213656047</v>
      </c>
      <c r="J359" s="1">
        <f t="shared" si="120"/>
        <v>0.9279530331194904</v>
      </c>
      <c r="K359" s="21">
        <f t="shared" si="110"/>
        <v>355.24549368334146</v>
      </c>
      <c r="L359" s="3">
        <v>0</v>
      </c>
      <c r="M359">
        <v>0</v>
      </c>
      <c r="N359" s="16">
        <f t="shared" si="111"/>
        <v>0</v>
      </c>
      <c r="O359" s="12"/>
    </row>
    <row r="360" spans="2:15">
      <c r="B360" s="17">
        <f t="shared" si="114"/>
        <v>0.33294290489279843</v>
      </c>
      <c r="C360" s="19">
        <f t="shared" si="115"/>
        <v>0.58654238641011747</v>
      </c>
      <c r="D360" s="21">
        <f t="shared" si="116"/>
        <v>359.72638067462123</v>
      </c>
      <c r="E360" s="21">
        <f t="shared" si="117"/>
        <v>409.94470511469768</v>
      </c>
      <c r="F360" s="21">
        <f t="shared" si="118"/>
        <v>414.63525806355074</v>
      </c>
      <c r="G360" s="6">
        <f t="shared" si="112"/>
        <v>3.0570175615453978</v>
      </c>
      <c r="H360" s="22">
        <f t="shared" si="113"/>
        <v>366.15404086481948</v>
      </c>
      <c r="I360" s="22">
        <f t="shared" si="119"/>
        <v>353.23454297091325</v>
      </c>
      <c r="J360" s="1">
        <f t="shared" si="120"/>
        <v>0.96471567577571549</v>
      </c>
      <c r="K360" s="21">
        <f t="shared" si="110"/>
        <v>369.92003122213384</v>
      </c>
      <c r="L360" s="3">
        <v>0</v>
      </c>
      <c r="M360">
        <v>0</v>
      </c>
      <c r="N360" s="16">
        <f t="shared" si="111"/>
        <v>0</v>
      </c>
      <c r="O360" s="12"/>
    </row>
    <row r="361" spans="2:15">
      <c r="B361" s="17">
        <f t="shared" si="114"/>
        <v>0.3191190874106653</v>
      </c>
      <c r="C361" s="19">
        <f t="shared" si="115"/>
        <v>0.58606591006047482</v>
      </c>
      <c r="D361" s="21">
        <f t="shared" si="116"/>
        <v>360.36666520419294</v>
      </c>
      <c r="E361" s="21">
        <f t="shared" si="117"/>
        <v>414.63525806355074</v>
      </c>
      <c r="F361" s="21">
        <f t="shared" si="118"/>
        <v>419.27890548291526</v>
      </c>
      <c r="G361" s="6">
        <f t="shared" si="112"/>
        <v>3.1951204830613609</v>
      </c>
      <c r="H361" s="22">
        <f t="shared" si="113"/>
        <v>366.47975861966728</v>
      </c>
      <c r="I361" s="22">
        <f t="shared" si="119"/>
        <v>367.2030993478844</v>
      </c>
      <c r="J361" s="1">
        <f t="shared" si="120"/>
        <v>1.001973753559928</v>
      </c>
      <c r="K361" s="21">
        <f t="shared" si="110"/>
        <v>384.28685411496576</v>
      </c>
      <c r="L361" s="3">
        <v>0</v>
      </c>
      <c r="M361">
        <v>0</v>
      </c>
      <c r="N361" s="16">
        <f t="shared" si="111"/>
        <v>0</v>
      </c>
      <c r="O361" s="12"/>
    </row>
    <row r="362" spans="2:15">
      <c r="B362" s="17">
        <f t="shared" si="114"/>
        <v>0.30529526992853218</v>
      </c>
      <c r="C362" s="19">
        <f t="shared" si="115"/>
        <v>0.58558943371083216</v>
      </c>
      <c r="D362" s="21">
        <f t="shared" si="116"/>
        <v>360.76516195298444</v>
      </c>
      <c r="E362" s="21">
        <f t="shared" si="117"/>
        <v>419.27890548291526</v>
      </c>
      <c r="F362" s="21">
        <f t="shared" si="118"/>
        <v>423.87611642808611</v>
      </c>
      <c r="G362" s="6">
        <f t="shared" si="112"/>
        <v>3.3434892142787742</v>
      </c>
      <c r="H362" s="22">
        <f t="shared" si="113"/>
        <v>366.6823309652068</v>
      </c>
      <c r="I362" s="22">
        <f t="shared" si="119"/>
        <v>381.29490286020342</v>
      </c>
      <c r="J362" s="1">
        <f t="shared" si="120"/>
        <v>1.0398507663473513</v>
      </c>
      <c r="K362" s="21">
        <f t="shared" si="110"/>
        <v>398.35590053923477</v>
      </c>
      <c r="L362" s="3">
        <v>0</v>
      </c>
      <c r="M362">
        <v>0</v>
      </c>
      <c r="N362" s="16">
        <f t="shared" si="111"/>
        <v>0</v>
      </c>
      <c r="O362" s="12"/>
    </row>
    <row r="363" spans="2:15">
      <c r="B363" s="17">
        <f t="shared" si="114"/>
        <v>0.29147145244639905</v>
      </c>
      <c r="C363" s="19">
        <f t="shared" si="115"/>
        <v>0.58511295736118951</v>
      </c>
      <c r="D363" s="21">
        <f t="shared" si="116"/>
        <v>360.90931809578069</v>
      </c>
      <c r="E363" s="21">
        <f t="shared" si="117"/>
        <v>423.87611642808611</v>
      </c>
      <c r="F363" s="21">
        <f t="shared" si="118"/>
        <v>428.42735526380528</v>
      </c>
      <c r="G363" s="6">
        <f t="shared" si="112"/>
        <v>3.5034625517939308</v>
      </c>
      <c r="H363" s="22">
        <f t="shared" si="113"/>
        <v>366.75558392396357</v>
      </c>
      <c r="I363" s="22">
        <f t="shared" si="119"/>
        <v>395.53768140392918</v>
      </c>
      <c r="J363" s="1">
        <f t="shared" si="120"/>
        <v>1.0784775985467552</v>
      </c>
      <c r="K363" s="21">
        <f t="shared" si="110"/>
        <v>412.13664951437767</v>
      </c>
      <c r="L363" s="3">
        <v>0</v>
      </c>
      <c r="M363">
        <v>0</v>
      </c>
      <c r="N363" s="16">
        <f t="shared" si="111"/>
        <v>0</v>
      </c>
      <c r="O363" s="12"/>
    </row>
    <row r="364" spans="2:15">
      <c r="B364" s="17">
        <f t="shared" si="114"/>
        <v>0.27764763496426592</v>
      </c>
      <c r="C364" s="19">
        <f t="shared" si="115"/>
        <v>0.58463648101154686</v>
      </c>
      <c r="D364" s="21">
        <f t="shared" si="116"/>
        <v>360.78484403700185</v>
      </c>
      <c r="E364" s="21">
        <f t="shared" si="117"/>
        <v>428.42735526380528</v>
      </c>
      <c r="F364" s="21">
        <f t="shared" si="118"/>
        <v>432.93308171116723</v>
      </c>
      <c r="G364" s="6">
        <f t="shared" si="112"/>
        <v>3.6766282231515515</v>
      </c>
      <c r="H364" s="22">
        <f t="shared" si="113"/>
        <v>366.69233328080571</v>
      </c>
      <c r="I364" s="22">
        <f t="shared" si="119"/>
        <v>409.96041015518324</v>
      </c>
      <c r="J364" s="1">
        <f t="shared" si="120"/>
        <v>1.1179955863468891</v>
      </c>
      <c r="K364" s="21">
        <f t="shared" si="110"/>
        <v>425.63814873035324</v>
      </c>
      <c r="L364" s="3">
        <v>0</v>
      </c>
      <c r="M364">
        <v>0</v>
      </c>
      <c r="N364" s="16">
        <f t="shared" si="111"/>
        <v>0</v>
      </c>
      <c r="O364" s="12"/>
    </row>
    <row r="365" spans="2:15">
      <c r="B365" s="17">
        <f t="shared" si="114"/>
        <v>0.26382381748213279</v>
      </c>
      <c r="C365" s="19">
        <f t="shared" si="115"/>
        <v>0.58416000466190421</v>
      </c>
      <c r="D365" s="21">
        <f t="shared" si="116"/>
        <v>360.37538744618558</v>
      </c>
      <c r="E365" s="21">
        <f t="shared" si="117"/>
        <v>432.93308171116723</v>
      </c>
      <c r="F365" s="21">
        <f t="shared" si="118"/>
        <v>437.39375089405559</v>
      </c>
      <c r="G365" s="6">
        <f t="shared" si="112"/>
        <v>3.8648846083143589</v>
      </c>
      <c r="H365" s="22">
        <f t="shared" si="113"/>
        <v>366.48419369386664</v>
      </c>
      <c r="I365" s="22">
        <f t="shared" si="119"/>
        <v>424.59394291183588</v>
      </c>
      <c r="J365" s="1">
        <f t="shared" si="120"/>
        <v>1.1585600422006461</v>
      </c>
      <c r="K365" s="21">
        <f t="shared" si="110"/>
        <v>438.86904029890053</v>
      </c>
      <c r="L365" s="3">
        <v>0</v>
      </c>
      <c r="M365">
        <v>0</v>
      </c>
      <c r="N365" s="16">
        <f t="shared" si="111"/>
        <v>0</v>
      </c>
      <c r="O365" s="12"/>
    </row>
    <row r="366" spans="2:15">
      <c r="B366" s="19">
        <f>H4</f>
        <v>0.25</v>
      </c>
      <c r="C366" s="19">
        <f>C341*H11</f>
        <v>0.58368352831226133</v>
      </c>
      <c r="D366" s="21">
        <f t="shared" si="116"/>
        <v>359.66212483742174</v>
      </c>
      <c r="E366" s="21">
        <f t="shared" si="117"/>
        <v>437.39375089405559</v>
      </c>
      <c r="F366" s="21">
        <f t="shared" si="118"/>
        <v>441.80981338511504</v>
      </c>
      <c r="G366" s="6">
        <f t="shared" si="112"/>
        <v>4.0705220053577333</v>
      </c>
      <c r="H366" s="22">
        <f t="shared" si="113"/>
        <v>366.12133741791598</v>
      </c>
      <c r="I366" s="22">
        <f t="shared" si="119"/>
        <v>439.47172067697812</v>
      </c>
      <c r="J366" s="1">
        <f t="shared" si="120"/>
        <v>1.2003444644236481</v>
      </c>
      <c r="K366" s="21">
        <f t="shared" si="110"/>
        <v>451.83758461091497</v>
      </c>
      <c r="L366" s="3">
        <v>0</v>
      </c>
      <c r="M366">
        <v>0</v>
      </c>
      <c r="N366" s="16">
        <f t="shared" si="111"/>
        <v>0</v>
      </c>
      <c r="O366" s="12"/>
    </row>
  </sheetData>
  <phoneticPr fontId="5"/>
  <pageMargins left="0.75" right="0.75" top="1" bottom="1" header="0.5" footer="0.5"/>
  <pageSetup paperSize="0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showRuler="0" workbookViewId="0">
      <selection activeCell="F30" sqref="F30"/>
    </sheetView>
  </sheetViews>
  <sheetFormatPr baseColWidth="10" defaultRowHeight="13"/>
  <sheetData/>
  <phoneticPr fontId="8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showRuler="0" workbookViewId="0"/>
  </sheetViews>
  <sheetFormatPr baseColWidth="10" defaultRowHeight="13"/>
  <sheetData/>
  <phoneticPr fontId="8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USC 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Ronney</dc:creator>
  <cp:lastModifiedBy>Paul Ronney</cp:lastModifiedBy>
  <dcterms:created xsi:type="dcterms:W3CDTF">2004-02-09T02:51:34Z</dcterms:created>
  <dcterms:modified xsi:type="dcterms:W3CDTF">2019-04-17T23:06:56Z</dcterms:modified>
</cp:coreProperties>
</file>